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Beschreibung" sheetId="1" r:id="rId1"/>
    <sheet name="Mannschaften" sheetId="2" r:id="rId2"/>
    <sheet name="WKS1" sheetId="3" r:id="rId3"/>
    <sheet name="WKS2" sheetId="4" r:id="rId4"/>
    <sheet name="WKS3" sheetId="5" r:id="rId5"/>
    <sheet name="WKS4" sheetId="6" r:id="rId6"/>
    <sheet name="Athletik gesamt" sheetId="7" r:id="rId7"/>
    <sheet name="Spielplan" sheetId="8" r:id="rId8"/>
    <sheet name="Kreuztabelle" sheetId="9" r:id="rId9"/>
    <sheet name="Gesamt" sheetId="10" r:id="rId10"/>
    <sheet name="Unterschriften" sheetId="11" r:id="rId11"/>
  </sheets>
  <definedNames>
    <definedName name="anzahlteam1">'WKS1'!$C$20</definedName>
    <definedName name="anzahlteam2">'WKS1'!$D$20</definedName>
    <definedName name="anzahlteam3">'WKS1'!$E$20</definedName>
    <definedName name="anzahlteam4">'WKS1'!$F$20</definedName>
    <definedName name="Minus1">('Kreuztabelle'!$H$5,'Kreuztabelle'!$K$5,'Kreuztabelle'!$N$5)</definedName>
    <definedName name="Minus2">('Kreuztabelle'!$E$6,'Kreuztabelle'!$K$6,'Kreuztabelle'!$N$6)</definedName>
    <definedName name="Minus3">('Kreuztabelle'!$E$7,'Kreuztabelle'!$H$7,'Kreuztabelle'!$N$7)</definedName>
    <definedName name="Minus4">('Kreuztabelle'!$E$8,'Kreuztabelle'!$H$8,'Kreuztabelle'!$K$8)</definedName>
    <definedName name="MinusP1">('Kreuztabelle'!$H$9,'Kreuztabelle'!$K$9,'Kreuztabelle'!$N$9)</definedName>
    <definedName name="MinusP2">('Kreuztabelle'!$E$10,'Kreuztabelle'!$K$10,'Kreuztabelle'!$N$10)</definedName>
    <definedName name="MinusP3">('Kreuztabelle'!$E$11,'Kreuztabelle'!$H$11,'Kreuztabelle'!$N$11)</definedName>
    <definedName name="MinusP4">('Kreuztabelle'!$E$12,'Kreuztabelle'!$H$12,'Kreuztabelle'!$K$12)</definedName>
    <definedName name="PlatzT1">'Kreuztabelle'!$A$5</definedName>
    <definedName name="PlatzT2">'Kreuztabelle'!$A$6</definedName>
    <definedName name="PlatzT3">'Kreuztabelle'!$A$7</definedName>
    <definedName name="PlatzT4">'Kreuztabelle'!$A$8</definedName>
    <definedName name="Plus1">('Kreuztabelle'!$F$5,'Kreuztabelle'!$I$5,'Kreuztabelle'!$L$5)</definedName>
    <definedName name="Plus2">('Kreuztabelle'!$C$6,'Kreuztabelle'!$I$6,'Kreuztabelle'!$L$6)</definedName>
    <definedName name="Plus3">('Kreuztabelle'!$C$7,'Kreuztabelle'!$F$7,'Kreuztabelle'!$L$7)</definedName>
    <definedName name="Plus4">('Kreuztabelle'!$C$8,'Kreuztabelle'!$F$8,'Kreuztabelle'!$I$8)</definedName>
    <definedName name="PlusP1">('Kreuztabelle'!$F$9,'Kreuztabelle'!$I$9,'Kreuztabelle'!$L$9)</definedName>
    <definedName name="PlusP2">('Kreuztabelle'!$C$10,'Kreuztabelle'!$I$10,'Kreuztabelle'!$L$10)</definedName>
    <definedName name="PlusP3">('Kreuztabelle'!$C$11,'Kreuztabelle'!$F$11,'Kreuztabelle'!$L$11)</definedName>
    <definedName name="PlusP4">('Kreuztabelle'!$C$12,'Kreuztabelle'!$F$12,'Kreuztabelle'!$I$12)</definedName>
    <definedName name="Prüfen11">'Kreuztabelle'!$X$5</definedName>
    <definedName name="Prüfen12">'Kreuztabelle'!$X$6</definedName>
    <definedName name="Prüfen13">'Kreuztabelle'!$X$7</definedName>
    <definedName name="Prüfen14">'Kreuztabelle'!$X$8</definedName>
    <definedName name="Punkte1">'Kreuztabelle'!$W$5</definedName>
    <definedName name="Punkte2">'Kreuztabelle'!$W$6</definedName>
    <definedName name="Punkte3">'Kreuztabelle'!$W$7</definedName>
    <definedName name="Punkte4">'Kreuztabelle'!$W$8</definedName>
    <definedName name="Spiel12">'Spielplan'!$F$5</definedName>
    <definedName name="Spiel13">'Spielplan'!$F$12</definedName>
    <definedName name="Spiel14">'Spielplan'!$H$9</definedName>
    <definedName name="Spiel21">'Spielplan'!$H$5</definedName>
    <definedName name="Spiel23">'Spielplan'!$F$8</definedName>
    <definedName name="Spiel24">'Spielplan'!$H$11</definedName>
    <definedName name="Spiel31">'Spielplan'!$H$12</definedName>
    <definedName name="Spiel32">'Spielplan'!$H$8</definedName>
    <definedName name="Spiel34">'Spielplan'!$F$6</definedName>
    <definedName name="Spiel41">'Spielplan'!$F$9</definedName>
    <definedName name="Spiel42">'Spielplan'!$F$11</definedName>
    <definedName name="Spiel43">'Spielplan'!$H$6</definedName>
    <definedName name="StaffelA1">'Kreuztabelle'!$B$15</definedName>
    <definedName name="StaffelA2">'Kreuztabelle'!$B$16</definedName>
    <definedName name="StaffelA3">'Kreuztabelle'!$B$17</definedName>
    <definedName name="StaffelA4">'Kreuztabelle'!$B$18</definedName>
    <definedName name="StaffelB1">'Kreuztabelle'!$L$15</definedName>
    <definedName name="StaffelB2">'Kreuztabelle'!$L$16</definedName>
    <definedName name="StaffelB3">'Kreuztabelle'!$L$17</definedName>
    <definedName name="StaffelB4">'Kreuztabelle'!$L$18</definedName>
    <definedName name="Station1">'Mannschaften'!$B$14</definedName>
    <definedName name="Station2">'Mannschaften'!$B$15</definedName>
    <definedName name="Station3">'Mannschaften'!$B$16</definedName>
    <definedName name="Station4">'Mannschaften'!$B$17</definedName>
    <definedName name="Team1">'Mannschaften'!$B$5</definedName>
    <definedName name="Team2">'Mannschaften'!$B$6</definedName>
    <definedName name="Team3">'Mannschaften'!$B$7</definedName>
    <definedName name="Team4">'Mannschaften'!$B$8</definedName>
    <definedName name="Team5">'Mannschaften'!$B$9</definedName>
    <definedName name="Termin">'Mannschaften'!$B$1</definedName>
    <definedName name="Text1">'Mannschaften'!$E$14</definedName>
    <definedName name="Text2">'Mannschaften'!$E$15</definedName>
    <definedName name="Text3">'Mannschaften'!$E$16</definedName>
    <definedName name="Text4">'Mannschaften'!$E$17</definedName>
    <definedName name="WK1PlatzT1">'WKS1'!$C$24</definedName>
    <definedName name="WK1PlatzT2">'WKS1'!$D$24</definedName>
    <definedName name="WK1PlatzT3">'WKS1'!$E$24</definedName>
    <definedName name="WK1PlatzT4">'WKS1'!$F$24</definedName>
    <definedName name="WK1SchnittT1">'WKS1'!$C$22</definedName>
    <definedName name="WK1SchnittT2">'WKS1'!$D$22</definedName>
    <definedName name="WK1SchnittT3">'WKS1'!$E$22</definedName>
    <definedName name="WK1SchnittT4">'WKS1'!$F$22</definedName>
    <definedName name="WK2PlatzT1">'WKS2'!$C$24</definedName>
    <definedName name="WK2PlatzT2">'WKS2'!$D$24</definedName>
    <definedName name="WK2PlatzT3">'WKS2'!$E$24</definedName>
    <definedName name="WK2PlatzT4">'WKS2'!$F$24</definedName>
    <definedName name="WK2SchnittT1">'WKS2'!$C$22</definedName>
    <definedName name="WK2SchnittT2">'WKS2'!$D$22</definedName>
    <definedName name="WK2SchnittT3">'WKS2'!$E$22</definedName>
    <definedName name="WK2SchnittT4">'WKS2'!$F$22</definedName>
    <definedName name="WK3PlatzT1">'WKS3'!$C$24</definedName>
    <definedName name="WK3PlatzT2">'WKS3'!$D$24</definedName>
    <definedName name="WK3PlatzT3">'WKS3'!$E$24</definedName>
    <definedName name="WK3PlatzT4">'WKS3'!$F$24</definedName>
    <definedName name="WK3SchnittT1">'WKS3'!$C$22</definedName>
    <definedName name="WK3SchnittT2">'WKS3'!$D$22</definedName>
    <definedName name="WK3SchnittT3">'WKS3'!$E$22</definedName>
    <definedName name="WK3SchnittT4">'WKS3'!$F$22</definedName>
    <definedName name="WK4PlatzT1">'WKS4'!$C$17</definedName>
    <definedName name="WK4PlatzT2">'WKS4'!$D$17</definedName>
    <definedName name="WK4PlatzT3">'WKS4'!$E$17</definedName>
    <definedName name="WK4PlatzT4">'WKS4'!$F$17</definedName>
    <definedName name="WK4SchnittT1">'WKS4'!$C$14</definedName>
    <definedName name="WK4SchnittT2">'WKS4'!$D$14</definedName>
    <definedName name="WK4SchnittT3">'WKS4'!$E$14</definedName>
    <definedName name="WK4SchnittT4">'WKS4'!$F$14</definedName>
    <definedName name="WKPlatzT1">'Athletik gesamt'!$M$6</definedName>
    <definedName name="WKPlatzT2">'Athletik gesamt'!$M$7</definedName>
    <definedName name="WKPlatzT3">'Athletik gesamt'!$M$8</definedName>
    <definedName name="WKPlatzT4">'Athletik gesamt'!$M$9</definedName>
    <definedName name="_xlfn_IFERROR">#N/A</definedName>
    <definedName name="_xlfn_RANK_EQ">#N/A</definedName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<sst xmlns="http://schemas.openxmlformats.org/spreadsheetml/2006/main" count="185" uniqueCount="97">
  <si>
    <t>Beschreibung der Tabellen</t>
  </si>
  <si>
    <t>Für alle Mannschaften</t>
  </si>
  <si>
    <t>Mannschaftsliste</t>
  </si>
  <si>
    <t>Diese können elektronisch ausgefüllt und ausgedruckt werden bzw. auch handschriftlich bearbeitet werden</t>
  </si>
  <si>
    <t>Wettkampfliste</t>
  </si>
  <si>
    <t>Wie Mannschaftsliste</t>
  </si>
  <si>
    <t>Nur für den Ausrichter</t>
  </si>
  <si>
    <t>Mannschaften</t>
  </si>
  <si>
    <t>Sind vom Spieleiter fest vorgegeben und nicht veränderbar.</t>
  </si>
  <si>
    <t>WKS1-WKS4</t>
  </si>
  <si>
    <t>Das ist der aufwändigste Teil für das Kampfgericht</t>
  </si>
  <si>
    <t>Hier werden die einzelnen Ergebnisse der Laufzettel übertragen</t>
  </si>
  <si>
    <t>Die Berechnungen sind automatisiert und das Endergebnis wird errechnet.</t>
  </si>
  <si>
    <t>Athletik gesamt</t>
  </si>
  <si>
    <t>Dieses Blatt ist nicht veränderbar. Die Ergebnisse werden automatisch von WKS1-WKS4 übernommen.</t>
  </si>
  <si>
    <t>Spielplan</t>
  </si>
  <si>
    <t>Hier werden lediglich die Ergebnisse der Spiele eingegeben.</t>
  </si>
  <si>
    <t>Die Berechnung erfolgt automatisch in der Kreuztabelle</t>
  </si>
  <si>
    <t>Kreuztabelle</t>
  </si>
  <si>
    <t>Dieses Blatt ist nicht veränderbar. Die Ergebnisse werden automatisch vom Spielplan übernommen.</t>
  </si>
  <si>
    <t>Das Endergebnis wird automatisch errechnet</t>
  </si>
  <si>
    <t>Gesamt</t>
  </si>
  <si>
    <t>Dieses Blatt ist nicht veränderbar. Die Ergebnisse werden automatisch von Kreuttabelle und Athletik gesamt  übernommen.</t>
  </si>
  <si>
    <t>Unterschriften</t>
  </si>
  <si>
    <t>Dieses Blatt bitte einmal ausdrucken</t>
  </si>
  <si>
    <t>Handballflöhe am 18.03.23  in Radebeul</t>
  </si>
  <si>
    <t>Teilnehmende Mannschaften</t>
  </si>
  <si>
    <t>Radebeuler HV</t>
  </si>
  <si>
    <t>Coswiger HSG</t>
  </si>
  <si>
    <t>HC Elbflorenz 2006 I</t>
  </si>
  <si>
    <t>HC Elbflorenz 2006 II</t>
  </si>
  <si>
    <t>Stationen</t>
  </si>
  <si>
    <t>S1</t>
  </si>
  <si>
    <t>Pool 1-1</t>
  </si>
  <si>
    <t>Ball an Wand (2,50m)</t>
  </si>
  <si>
    <t>S2</t>
  </si>
  <si>
    <t>Pool 2-2</t>
  </si>
  <si>
    <t>Zielwurfübung 2 (Ring/A3)</t>
  </si>
  <si>
    <t>S3</t>
  </si>
  <si>
    <t>Pool 2-3</t>
  </si>
  <si>
    <t>Handballweitwurf</t>
  </si>
  <si>
    <t>S4</t>
  </si>
  <si>
    <t>Pool 3-1</t>
  </si>
  <si>
    <t>Mannschaftsstaffel 1</t>
  </si>
  <si>
    <t>Athletik Auswertung Station 1</t>
  </si>
  <si>
    <t xml:space="preserve">Nr. </t>
  </si>
  <si>
    <t>Anzahl</t>
  </si>
  <si>
    <t>Summe</t>
  </si>
  <si>
    <t>Anzahl Spieler</t>
  </si>
  <si>
    <t>Durchschnitt</t>
  </si>
  <si>
    <t>Platz</t>
  </si>
  <si>
    <t>Athletik Auswertung Station 2</t>
  </si>
  <si>
    <t>Athletik Auswertung Station 3</t>
  </si>
  <si>
    <t>Meter</t>
  </si>
  <si>
    <t>Athletik Auswertung Station 4</t>
  </si>
  <si>
    <t>Sekunden</t>
  </si>
  <si>
    <t>Platzierung der Stationen Koordination/Athletik</t>
  </si>
  <si>
    <t>Mannschaft</t>
  </si>
  <si>
    <t>Station 1</t>
  </si>
  <si>
    <t>Station 2</t>
  </si>
  <si>
    <t>Station 3</t>
  </si>
  <si>
    <t>Station 4</t>
  </si>
  <si>
    <t>Summe
PZ</t>
  </si>
  <si>
    <t>Ziffer</t>
  </si>
  <si>
    <t>Aufsetzerball</t>
  </si>
  <si>
    <t>Feld 1</t>
  </si>
  <si>
    <t>:</t>
  </si>
  <si>
    <t>Feld 2</t>
  </si>
  <si>
    <t>5 Minuten Pause</t>
  </si>
  <si>
    <t xml:space="preserve">   Kreuztabelle Aufsetzerball</t>
  </si>
  <si>
    <t>Punkte</t>
  </si>
  <si>
    <t>Tore</t>
  </si>
  <si>
    <t>Diff.</t>
  </si>
  <si>
    <t>PLUS Punkte</t>
  </si>
  <si>
    <t>Punktgleichheit Prüfung</t>
  </si>
  <si>
    <t>Gegeneinander</t>
  </si>
  <si>
    <t>Direktvergleich prüfen</t>
  </si>
  <si>
    <t>Tordifferenz</t>
  </si>
  <si>
    <t>prüfen</t>
  </si>
  <si>
    <t>Tabelle</t>
  </si>
  <si>
    <t>1.</t>
  </si>
  <si>
    <t>2.</t>
  </si>
  <si>
    <t>3.</t>
  </si>
  <si>
    <t>4.</t>
  </si>
  <si>
    <t>Gesamtauswertung Spielfest</t>
  </si>
  <si>
    <t>Nummer</t>
  </si>
  <si>
    <t>Verein</t>
  </si>
  <si>
    <t>Platzziffer koordinative Fähigkeiten</t>
  </si>
  <si>
    <t>Platzziffer Aufsetzerball</t>
  </si>
  <si>
    <t>Summe der Platzziffern</t>
  </si>
  <si>
    <t>Platz insgesamt</t>
  </si>
  <si>
    <t>PZ
Vergleich</t>
  </si>
  <si>
    <t>Gleich
= 1</t>
  </si>
  <si>
    <t>Priorität
Spiel</t>
  </si>
  <si>
    <t>Unterschriften Spielfest</t>
  </si>
  <si>
    <t>Bestätigung der Mannschaftsleiter für die Richtigkeit der Ergebnisse</t>
  </si>
  <si>
    <t>Bestätigung der MV: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</si>
</sst>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"/>
  </numFmts>
  <fonts count="23">
    <font>
      <sz val="10"/>
      <name val="Arial"/>
      <family val="0"/>
    </font>
    <font>
      <sz val="10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36"/>
      <name val="Brush Script"/>
      <family val="4"/>
    </font>
    <font>
      <b/>
      <sz val="14"/>
      <name val="Brush Script"/>
      <family val="4"/>
    </font>
    <font>
      <b/>
      <sz val="26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2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dotted">
        <color indexed="54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</cellStyleXfs>
  <cellXfs count="10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vertical="center"/>
    </xf>
    <xf numFmtId="164" fontId="4" fillId="0" borderId="0" xfId="22" applyNumberFormat="1" applyFont="1" applyBorder="1" applyAlignment="1" applyProtection="1">
      <alignment horizontal="center"/>
      <protection/>
    </xf>
    <xf numFmtId="164" fontId="0" fillId="0" borderId="0" xfId="0" applyAlignment="1">
      <alignment vertical="center"/>
    </xf>
    <xf numFmtId="164" fontId="6" fillId="0" borderId="0" xfId="0" applyFont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7" fillId="0" borderId="0" xfId="0" applyFont="1" applyAlignment="1">
      <alignment horizontal="center"/>
    </xf>
    <xf numFmtId="164" fontId="7" fillId="0" borderId="0" xfId="0" applyFont="1" applyFill="1" applyBorder="1" applyAlignment="1" applyProtection="1">
      <alignment horizontal="left"/>
      <protection/>
    </xf>
    <xf numFmtId="164" fontId="7" fillId="0" borderId="0" xfId="0" applyFont="1" applyAlignment="1">
      <alignment/>
    </xf>
    <xf numFmtId="164" fontId="5" fillId="0" borderId="0" xfId="22">
      <alignment/>
      <protection/>
    </xf>
    <xf numFmtId="164" fontId="8" fillId="0" borderId="0" xfId="22" applyFont="1" applyProtection="1">
      <alignment/>
      <protection/>
    </xf>
    <xf numFmtId="164" fontId="9" fillId="0" borderId="0" xfId="22" applyFont="1" applyProtection="1">
      <alignment/>
      <protection/>
    </xf>
    <xf numFmtId="164" fontId="4" fillId="0" borderId="0" xfId="22" applyNumberFormat="1" applyFont="1" applyBorder="1" applyAlignment="1" applyProtection="1">
      <alignment horizontal="center"/>
      <protection/>
    </xf>
    <xf numFmtId="164" fontId="10" fillId="0" borderId="0" xfId="22" applyFont="1" applyProtection="1">
      <alignment/>
      <protection/>
    </xf>
    <xf numFmtId="164" fontId="4" fillId="0" borderId="0" xfId="22" applyNumberFormat="1" applyFont="1" applyBorder="1" applyAlignment="1" applyProtection="1">
      <alignment horizontal="left"/>
      <protection/>
    </xf>
    <xf numFmtId="164" fontId="8" fillId="0" borderId="0" xfId="22" applyFont="1">
      <alignment/>
      <protection/>
    </xf>
    <xf numFmtId="164" fontId="8" fillId="0" borderId="0" xfId="0" applyFont="1" applyAlignment="1">
      <alignment/>
    </xf>
    <xf numFmtId="164" fontId="4" fillId="0" borderId="0" xfId="22" applyNumberFormat="1" applyFont="1" applyBorder="1" applyAlignment="1" applyProtection="1">
      <alignment horizontal="left"/>
      <protection/>
    </xf>
    <xf numFmtId="164" fontId="11" fillId="0" borderId="1" xfId="22" applyFont="1" applyBorder="1" applyProtection="1">
      <alignment/>
      <protection/>
    </xf>
    <xf numFmtId="164" fontId="4" fillId="0" borderId="1" xfId="22" applyFont="1" applyBorder="1" applyProtection="1">
      <alignment/>
      <protection/>
    </xf>
    <xf numFmtId="164" fontId="4" fillId="0" borderId="1" xfId="22" applyNumberFormat="1" applyFont="1" applyBorder="1" applyAlignment="1" applyProtection="1">
      <alignment horizontal="center"/>
      <protection/>
    </xf>
    <xf numFmtId="164" fontId="4" fillId="0" borderId="1" xfId="22" applyNumberFormat="1" applyFont="1" applyBorder="1" applyAlignment="1" applyProtection="1">
      <alignment horizontal="center" wrapText="1"/>
      <protection/>
    </xf>
    <xf numFmtId="164" fontId="11" fillId="0" borderId="1" xfId="22" applyNumberFormat="1" applyFont="1" applyBorder="1" applyAlignment="1" applyProtection="1">
      <alignment horizontal="center"/>
      <protection/>
    </xf>
    <xf numFmtId="164" fontId="4" fillId="0" borderId="1" xfId="22" applyFont="1" applyBorder="1" applyAlignment="1" applyProtection="1">
      <alignment horizontal="center"/>
      <protection locked="0"/>
    </xf>
    <xf numFmtId="164" fontId="5" fillId="0" borderId="0" xfId="22" applyProtection="1">
      <alignment/>
      <protection/>
    </xf>
    <xf numFmtId="164" fontId="10" fillId="0" borderId="0" xfId="22" applyFont="1" applyAlignment="1" applyProtection="1">
      <alignment horizontal="center"/>
      <protection/>
    </xf>
    <xf numFmtId="164" fontId="12" fillId="0" borderId="1" xfId="22" applyNumberFormat="1" applyFont="1" applyBorder="1" applyAlignment="1" applyProtection="1">
      <alignment horizontal="center" wrapText="1"/>
      <protection/>
    </xf>
    <xf numFmtId="164" fontId="13" fillId="0" borderId="1" xfId="22" applyNumberFormat="1" applyFont="1" applyBorder="1" applyProtection="1">
      <alignment/>
      <protection/>
    </xf>
    <xf numFmtId="164" fontId="13" fillId="0" borderId="1" xfId="22" applyNumberFormat="1" applyFont="1" applyFill="1" applyBorder="1" applyAlignment="1" applyProtection="1">
      <alignment horizontal="center"/>
      <protection/>
    </xf>
    <xf numFmtId="164" fontId="13" fillId="0" borderId="1" xfId="22" applyNumberFormat="1" applyFont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16" fillId="0" borderId="0" xfId="0" applyNumberFormat="1" applyFont="1" applyFill="1" applyAlignment="1">
      <alignment/>
    </xf>
    <xf numFmtId="164" fontId="16" fillId="0" borderId="0" xfId="0" applyNumberFormat="1" applyFont="1" applyAlignment="1">
      <alignment horizontal="right"/>
    </xf>
    <xf numFmtId="164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left"/>
    </xf>
    <xf numFmtId="167" fontId="2" fillId="2" borderId="0" xfId="0" applyNumberFormat="1" applyFont="1" applyFill="1" applyAlignment="1" applyProtection="1">
      <alignment horizontal="center"/>
      <protection locked="0"/>
    </xf>
    <xf numFmtId="164" fontId="2" fillId="0" borderId="0" xfId="0" applyFont="1" applyAlignment="1">
      <alignment/>
    </xf>
    <xf numFmtId="166" fontId="0" fillId="0" borderId="0" xfId="0" applyNumberFormat="1" applyFont="1" applyFill="1" applyAlignment="1">
      <alignment/>
    </xf>
    <xf numFmtId="164" fontId="2" fillId="0" borderId="0" xfId="0" applyFont="1" applyBorder="1" applyAlignment="1">
      <alignment horizontal="center"/>
    </xf>
    <xf numFmtId="167" fontId="2" fillId="0" borderId="0" xfId="0" applyNumberFormat="1" applyFont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16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7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20" fillId="0" borderId="0" xfId="0" applyFont="1" applyAlignment="1">
      <alignment/>
    </xf>
    <xf numFmtId="164" fontId="15" fillId="0" borderId="0" xfId="0" applyFont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 horizontal="center" vertical="center" textRotation="90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0" fillId="0" borderId="0" xfId="0" applyFont="1" applyAlignment="1">
      <alignment horizontal="center" textRotation="90"/>
    </xf>
    <xf numFmtId="164" fontId="2" fillId="0" borderId="0" xfId="0" applyNumberFormat="1" applyFont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7" fontId="3" fillId="0" borderId="6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/>
    </xf>
    <xf numFmtId="167" fontId="3" fillId="0" borderId="7" xfId="0" applyNumberFormat="1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164" fontId="20" fillId="3" borderId="6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left" vertical="center"/>
    </xf>
    <xf numFmtId="167" fontId="3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2" fillId="0" borderId="0" xfId="0" applyFont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164" fontId="9" fillId="0" borderId="0" xfId="22" applyFont="1">
      <alignment/>
      <protection/>
    </xf>
    <xf numFmtId="164" fontId="4" fillId="0" borderId="0" xfId="22" applyNumberFormat="1" applyFont="1" applyBorder="1" applyAlignment="1">
      <alignment horizontal="center"/>
      <protection/>
    </xf>
    <xf numFmtId="164" fontId="10" fillId="0" borderId="0" xfId="22" applyFont="1">
      <alignment/>
      <protection/>
    </xf>
    <xf numFmtId="164" fontId="13" fillId="0" borderId="0" xfId="22" applyFont="1">
      <alignment/>
      <protection/>
    </xf>
    <xf numFmtId="164" fontId="21" fillId="0" borderId="0" xfId="22" applyFont="1" applyBorder="1" applyAlignment="1">
      <alignment horizontal="center"/>
      <protection/>
    </xf>
    <xf numFmtId="164" fontId="13" fillId="0" borderId="1" xfId="22" applyFont="1" applyBorder="1">
      <alignment/>
      <protection/>
    </xf>
    <xf numFmtId="164" fontId="13" fillId="0" borderId="1" xfId="22" applyFont="1" applyBorder="1" applyAlignment="1">
      <alignment horizontal="center"/>
      <protection/>
    </xf>
    <xf numFmtId="164" fontId="13" fillId="0" borderId="1" xfId="22" applyFont="1" applyBorder="1" applyAlignment="1">
      <alignment horizontal="center" wrapText="1"/>
      <protection/>
    </xf>
    <xf numFmtId="164" fontId="5" fillId="0" borderId="0" xfId="22" applyFont="1" applyAlignment="1">
      <alignment horizontal="center" wrapText="1"/>
      <protection/>
    </xf>
    <xf numFmtId="164" fontId="9" fillId="0" borderId="1" xfId="22" applyNumberFormat="1" applyFont="1" applyBorder="1" applyAlignment="1" applyProtection="1">
      <alignment horizontal="center"/>
      <protection/>
    </xf>
    <xf numFmtId="164" fontId="21" fillId="0" borderId="1" xfId="22" applyNumberFormat="1" applyFont="1" applyFill="1" applyBorder="1" applyAlignment="1" applyProtection="1">
      <alignment horizontal="center"/>
      <protection/>
    </xf>
    <xf numFmtId="164" fontId="5" fillId="0" borderId="0" xfId="22" applyNumberFormat="1" applyAlignment="1">
      <alignment horizontal="right"/>
      <protection/>
    </xf>
    <xf numFmtId="164" fontId="13" fillId="0" borderId="0" xfId="22" applyFont="1" applyBorder="1" applyAlignment="1">
      <alignment horizontal="center"/>
      <protection/>
    </xf>
    <xf numFmtId="164" fontId="22" fillId="0" borderId="1" xfId="22" applyNumberFormat="1" applyFont="1" applyBorder="1" applyAlignment="1">
      <alignment horizontal="center"/>
      <protection/>
    </xf>
    <xf numFmtId="164" fontId="13" fillId="0" borderId="1" xfId="22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mJD" xfId="20"/>
    <cellStyle name="Standard_Tabelle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8.75">
      <c r="A1" s="1" t="s">
        <v>0</v>
      </c>
    </row>
    <row r="2" ht="14.25"/>
    <row r="3" ht="18.75">
      <c r="A3" s="1" t="s">
        <v>1</v>
      </c>
    </row>
    <row r="5" ht="14.25">
      <c r="A5" s="2" t="s">
        <v>2</v>
      </c>
    </row>
    <row r="6" ht="12.75">
      <c r="A6" t="s">
        <v>3</v>
      </c>
    </row>
    <row r="8" ht="14.25">
      <c r="A8" s="2" t="s">
        <v>4</v>
      </c>
    </row>
    <row r="9" ht="12.75">
      <c r="A9" t="s">
        <v>5</v>
      </c>
    </row>
    <row r="12" ht="18.75">
      <c r="A12" s="1" t="s">
        <v>6</v>
      </c>
    </row>
    <row r="13" ht="14.25"/>
    <row r="14" ht="14.25">
      <c r="A14" s="2" t="s">
        <v>7</v>
      </c>
    </row>
    <row r="15" ht="14.25">
      <c r="A15" t="s">
        <v>8</v>
      </c>
    </row>
    <row r="16" ht="14.25"/>
    <row r="17" ht="14.25">
      <c r="A17" s="2" t="s">
        <v>9</v>
      </c>
    </row>
    <row r="18" ht="14.25">
      <c r="A18" s="2" t="s">
        <v>10</v>
      </c>
    </row>
    <row r="19" ht="14.25">
      <c r="A19" t="s">
        <v>11</v>
      </c>
    </row>
    <row r="20" ht="14.25">
      <c r="A20" t="s">
        <v>12</v>
      </c>
    </row>
    <row r="22" ht="14.25">
      <c r="A22" s="2" t="s">
        <v>13</v>
      </c>
    </row>
    <row r="23" ht="14.25">
      <c r="A23" t="s">
        <v>14</v>
      </c>
    </row>
    <row r="26" ht="14.25">
      <c r="A26" s="2" t="s">
        <v>15</v>
      </c>
    </row>
    <row r="27" ht="12.75">
      <c r="A27" t="s">
        <v>16</v>
      </c>
    </row>
    <row r="28" ht="12.75">
      <c r="A28" t="s">
        <v>17</v>
      </c>
    </row>
    <row r="30" ht="14.25">
      <c r="A30" s="2" t="s">
        <v>18</v>
      </c>
    </row>
    <row r="31" ht="12.75">
      <c r="A31" t="s">
        <v>19</v>
      </c>
    </row>
    <row r="32" ht="12.75">
      <c r="A32" t="s">
        <v>20</v>
      </c>
    </row>
    <row r="34" ht="14.25">
      <c r="A34" s="2" t="s">
        <v>21</v>
      </c>
    </row>
    <row r="35" ht="14.25">
      <c r="A35" t="s">
        <v>22</v>
      </c>
    </row>
    <row r="36" ht="14.25">
      <c r="A36" t="s">
        <v>20</v>
      </c>
    </row>
    <row r="38" ht="14.25">
      <c r="A38" s="2" t="s">
        <v>23</v>
      </c>
    </row>
    <row r="39" ht="12.75">
      <c r="A39" t="s">
        <v>24</v>
      </c>
    </row>
  </sheetData>
  <sheetProtection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13.57421875" style="16" customWidth="1"/>
    <col min="2" max="2" width="37.57421875" style="16" customWidth="1"/>
    <col min="3" max="3" width="25.00390625" style="16" customWidth="1"/>
    <col min="4" max="4" width="21.57421875" style="16" customWidth="1"/>
    <col min="5" max="5" width="17.57421875" style="16" customWidth="1"/>
    <col min="6" max="6" width="17.7109375" style="16" customWidth="1"/>
    <col min="7" max="7" width="9.57421875" style="16" hidden="1" customWidth="1"/>
    <col min="8" max="8" width="7.8515625" style="16" hidden="1" customWidth="1"/>
    <col min="9" max="9" width="9.00390625" style="16" hidden="1" customWidth="1"/>
    <col min="10" max="10" width="7.7109375" style="16" hidden="1" customWidth="1"/>
    <col min="11" max="16384" width="10.57421875" style="16" customWidth="1"/>
  </cols>
  <sheetData>
    <row r="1" spans="1:6" ht="27" customHeight="1">
      <c r="A1" s="92"/>
      <c r="B1" s="93">
        <f>Termin</f>
        <v>0</v>
      </c>
      <c r="C1" s="93"/>
      <c r="D1" s="93"/>
      <c r="E1" s="93"/>
      <c r="F1" s="93"/>
    </row>
    <row r="2" spans="1:6" ht="12.75" customHeight="1">
      <c r="A2" s="94"/>
      <c r="B2" s="94"/>
      <c r="C2" s="94"/>
      <c r="D2" s="94"/>
      <c r="E2" s="94"/>
      <c r="F2" s="94"/>
    </row>
    <row r="3" spans="1:6" ht="21.75">
      <c r="A3" s="95"/>
      <c r="B3" s="96" t="s">
        <v>84</v>
      </c>
      <c r="C3" s="96"/>
      <c r="D3" s="96"/>
      <c r="E3" s="96"/>
      <c r="F3" s="96"/>
    </row>
    <row r="4" spans="1:6" ht="15.75" customHeight="1">
      <c r="A4" s="95"/>
      <c r="B4" s="95"/>
      <c r="C4" s="95"/>
      <c r="D4" s="95"/>
      <c r="E4" s="95"/>
      <c r="F4" s="95"/>
    </row>
    <row r="5" spans="1:10" ht="53.25" customHeight="1">
      <c r="A5" s="97" t="s">
        <v>85</v>
      </c>
      <c r="B5" s="98" t="s">
        <v>86</v>
      </c>
      <c r="C5" s="99" t="s">
        <v>87</v>
      </c>
      <c r="D5" s="99" t="s">
        <v>88</v>
      </c>
      <c r="E5" s="99" t="s">
        <v>89</v>
      </c>
      <c r="F5" s="99" t="s">
        <v>90</v>
      </c>
      <c r="G5" s="100" t="s">
        <v>91</v>
      </c>
      <c r="H5" s="100" t="s">
        <v>92</v>
      </c>
      <c r="I5" s="100" t="s">
        <v>93</v>
      </c>
      <c r="J5" s="100" t="s">
        <v>63</v>
      </c>
    </row>
    <row r="6" spans="1:10" ht="32.25" customHeight="1">
      <c r="A6" s="98">
        <v>1</v>
      </c>
      <c r="B6" s="101">
        <f>Team1</f>
        <v>0</v>
      </c>
      <c r="C6" s="35">
        <f>WKPlatzT1</f>
        <v>2</v>
      </c>
      <c r="D6" s="35">
        <f>_xlfn.IFERROR(PlatzT1,"")</f>
        <v>4</v>
      </c>
      <c r="E6" s="36">
        <f aca="true" t="shared" si="0" ref="E6:E9">SUM(C6:D6)</f>
        <v>6</v>
      </c>
      <c r="F6" s="102">
        <f>_xlfn.RANK.EQ(J6,J6:J9)</f>
        <v>4</v>
      </c>
      <c r="G6" s="16">
        <f aca="true" t="shared" si="1" ref="G6:G9">RANK(E6,$E$6:$E$9,4)*100</f>
        <v>300</v>
      </c>
      <c r="H6" s="16">
        <f aca="true" t="shared" si="2" ref="H6:H9">IF(COUNTIF(G$6:G$9,G6)&gt;1,1,0)</f>
        <v>1</v>
      </c>
      <c r="I6" s="103">
        <f aca="true" t="shared" si="3" ref="I6:I9">IF(H6=0,G6,G6+(D6*2))</f>
        <v>308</v>
      </c>
      <c r="J6" s="103">
        <f>_xlfn.RANK.EQ(I6,I6:I9)</f>
        <v>1</v>
      </c>
    </row>
    <row r="7" spans="1:10" ht="32.25" customHeight="1">
      <c r="A7" s="98">
        <v>2</v>
      </c>
      <c r="B7" s="101">
        <f>Team2</f>
        <v>0</v>
      </c>
      <c r="C7" s="35">
        <f>WKPlatzT2</f>
        <v>4</v>
      </c>
      <c r="D7" s="35">
        <f>_xlfn.IFERROR(PlatzT2,"")</f>
        <v>2</v>
      </c>
      <c r="E7" s="36">
        <f t="shared" si="0"/>
        <v>6</v>
      </c>
      <c r="F7" s="102">
        <f>_xlfn.RANK.EQ(J7,J6:J9)</f>
        <v>3</v>
      </c>
      <c r="G7" s="16">
        <f t="shared" si="1"/>
        <v>300</v>
      </c>
      <c r="H7" s="16">
        <f t="shared" si="2"/>
        <v>1</v>
      </c>
      <c r="I7" s="16">
        <f t="shared" si="3"/>
        <v>304</v>
      </c>
      <c r="J7" s="16">
        <f>_xlfn.RANK.EQ(I7,I6:I9)</f>
        <v>2</v>
      </c>
    </row>
    <row r="8" spans="1:10" ht="32.25" customHeight="1">
      <c r="A8" s="98">
        <v>3</v>
      </c>
      <c r="B8" s="101">
        <f>Team3</f>
        <v>0</v>
      </c>
      <c r="C8" s="35">
        <f>WKPlatzT3</f>
        <v>3</v>
      </c>
      <c r="D8" s="35">
        <f>_xlfn.IFERROR(PlatzT3,"")</f>
        <v>1</v>
      </c>
      <c r="E8" s="36">
        <f t="shared" si="0"/>
        <v>4</v>
      </c>
      <c r="F8" s="102">
        <f>_xlfn.RANK.EQ(J8,J6:J9)</f>
        <v>1</v>
      </c>
      <c r="G8" s="16">
        <f t="shared" si="1"/>
        <v>100</v>
      </c>
      <c r="H8" s="16">
        <f t="shared" si="2"/>
        <v>1</v>
      </c>
      <c r="I8" s="16">
        <f t="shared" si="3"/>
        <v>102</v>
      </c>
      <c r="J8" s="16">
        <f>_xlfn.RANK.EQ(I8,I6:I9)</f>
        <v>4</v>
      </c>
    </row>
    <row r="9" spans="1:10" ht="32.25" customHeight="1">
      <c r="A9" s="98">
        <v>4</v>
      </c>
      <c r="B9" s="101">
        <f>Team4</f>
        <v>0</v>
      </c>
      <c r="C9" s="35">
        <f>WKPlatzT4</f>
        <v>1</v>
      </c>
      <c r="D9" s="35">
        <f>_xlfn.IFERROR(PlatzT4,"")</f>
        <v>3</v>
      </c>
      <c r="E9" s="36">
        <f t="shared" si="0"/>
        <v>4</v>
      </c>
      <c r="F9" s="102">
        <f>_xlfn.RANK.EQ(J9,J6:J9)</f>
        <v>2</v>
      </c>
      <c r="G9" s="16">
        <f t="shared" si="1"/>
        <v>100</v>
      </c>
      <c r="H9" s="16">
        <f t="shared" si="2"/>
        <v>1</v>
      </c>
      <c r="I9" s="16">
        <f t="shared" si="3"/>
        <v>106</v>
      </c>
      <c r="J9" s="16">
        <f>_xlfn.RANK.EQ(I9,I6:I9)</f>
        <v>3</v>
      </c>
    </row>
  </sheetData>
  <sheetProtection sheet="1" selectLockedCells="1"/>
  <mergeCells count="2">
    <mergeCell ref="B1:F1"/>
    <mergeCell ref="B3:F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3.57421875" style="16" customWidth="1"/>
    <col min="2" max="2" width="11.57421875" style="16" customWidth="1"/>
    <col min="3" max="3" width="25.00390625" style="16" customWidth="1"/>
    <col min="4" max="4" width="21.57421875" style="16" customWidth="1"/>
    <col min="5" max="5" width="17.57421875" style="16" customWidth="1"/>
    <col min="6" max="6" width="17.7109375" style="16" hidden="1" customWidth="1"/>
    <col min="7" max="7" width="29.57421875" style="16" customWidth="1"/>
    <col min="8" max="16384" width="10.57421875" style="16" customWidth="1"/>
  </cols>
  <sheetData>
    <row r="1" spans="1:7" ht="27" customHeight="1">
      <c r="A1" s="92"/>
      <c r="B1" s="93">
        <f>Termin</f>
        <v>0</v>
      </c>
      <c r="C1" s="93"/>
      <c r="D1" s="93"/>
      <c r="E1" s="93"/>
      <c r="F1" s="93"/>
      <c r="G1" s="93"/>
    </row>
    <row r="2" spans="1:7" ht="12.75" customHeight="1">
      <c r="A2" s="94"/>
      <c r="B2" s="94"/>
      <c r="C2" s="94"/>
      <c r="D2" s="94"/>
      <c r="E2" s="94"/>
      <c r="F2" s="94"/>
      <c r="G2" s="94"/>
    </row>
    <row r="3" spans="1:7" ht="21.75">
      <c r="A3" s="95"/>
      <c r="B3" s="96" t="s">
        <v>94</v>
      </c>
      <c r="C3" s="96"/>
      <c r="D3" s="96"/>
      <c r="E3" s="96"/>
      <c r="F3" s="96"/>
      <c r="G3" s="96"/>
    </row>
    <row r="4" spans="1:7" ht="15.75" customHeight="1">
      <c r="A4" s="95"/>
      <c r="B4" s="95"/>
      <c r="C4" s="95"/>
      <c r="D4" s="95"/>
      <c r="E4" s="95"/>
      <c r="F4" s="95"/>
      <c r="G4" s="95"/>
    </row>
    <row r="5" spans="1:7" ht="25.5" customHeight="1">
      <c r="A5" s="95"/>
      <c r="B5" s="104" t="s">
        <v>95</v>
      </c>
      <c r="C5" s="104"/>
      <c r="D5" s="104"/>
      <c r="E5" s="104"/>
      <c r="F5" s="104"/>
      <c r="G5" s="104"/>
    </row>
    <row r="6" spans="1:7" ht="15.75" customHeight="1">
      <c r="A6" s="95"/>
      <c r="B6" s="95"/>
      <c r="C6" s="95"/>
      <c r="D6" s="95"/>
      <c r="E6" s="95"/>
      <c r="F6" s="95"/>
      <c r="G6" s="95"/>
    </row>
    <row r="7" spans="1:7" ht="15.75" customHeight="1">
      <c r="A7" s="95"/>
      <c r="B7" s="95"/>
      <c r="C7" s="95"/>
      <c r="D7" s="95"/>
      <c r="E7" s="95"/>
      <c r="F7" s="95"/>
      <c r="G7" s="95"/>
    </row>
    <row r="8" spans="1:7" ht="21.75">
      <c r="A8" s="96" t="s">
        <v>57</v>
      </c>
      <c r="B8" s="96"/>
      <c r="C8" s="96"/>
      <c r="D8" s="96" t="s">
        <v>96</v>
      </c>
      <c r="E8" s="96"/>
      <c r="F8" s="96"/>
      <c r="G8" s="96"/>
    </row>
    <row r="9" spans="1:7" ht="53.25" customHeight="1">
      <c r="A9" s="105">
        <f>Team1</f>
        <v>0</v>
      </c>
      <c r="B9" s="105"/>
      <c r="C9" s="105"/>
      <c r="D9" s="106"/>
      <c r="E9" s="106"/>
      <c r="F9" s="106"/>
      <c r="G9" s="106"/>
    </row>
    <row r="10" spans="1:7" ht="53.25" customHeight="1">
      <c r="A10" s="105">
        <f>Team2</f>
        <v>0</v>
      </c>
      <c r="B10" s="105"/>
      <c r="C10" s="105"/>
      <c r="D10" s="106"/>
      <c r="E10" s="106"/>
      <c r="F10" s="106"/>
      <c r="G10" s="106"/>
    </row>
    <row r="11" spans="1:7" ht="53.25" customHeight="1">
      <c r="A11" s="105">
        <f>Team3</f>
        <v>0</v>
      </c>
      <c r="B11" s="105"/>
      <c r="C11" s="105"/>
      <c r="D11" s="106"/>
      <c r="E11" s="106"/>
      <c r="F11" s="106"/>
      <c r="G11" s="106"/>
    </row>
    <row r="12" spans="1:7" ht="53.25" customHeight="1">
      <c r="A12" s="105">
        <f>Team4</f>
        <v>0</v>
      </c>
      <c r="B12" s="105"/>
      <c r="C12" s="105"/>
      <c r="D12" s="106"/>
      <c r="E12" s="106"/>
      <c r="F12" s="106"/>
      <c r="G12" s="106"/>
    </row>
  </sheetData>
  <sheetProtection sheet="1" selectLockedCells="1"/>
  <mergeCells count="13">
    <mergeCell ref="B1:G1"/>
    <mergeCell ref="B3:G3"/>
    <mergeCell ref="B5:G5"/>
    <mergeCell ref="A8:C8"/>
    <mergeCell ref="D8:G8"/>
    <mergeCell ref="A9:C9"/>
    <mergeCell ref="D9:G9"/>
    <mergeCell ref="A10:C10"/>
    <mergeCell ref="D10:G10"/>
    <mergeCell ref="A11:C11"/>
    <mergeCell ref="D11:G11"/>
    <mergeCell ref="A12:C12"/>
    <mergeCell ref="D12:G1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75" zoomScaleNormal="75" workbookViewId="0" topLeftCell="A1">
      <selection activeCell="B1" sqref="B1"/>
    </sheetView>
  </sheetViews>
  <sheetFormatPr defaultColWidth="9.140625" defaultRowHeight="14.25" customHeight="1"/>
  <cols>
    <col min="1" max="2" width="7.421875" style="0" customWidth="1"/>
    <col min="3" max="3" width="5.421875" style="0" customWidth="1"/>
    <col min="4" max="4" width="5.57421875" style="0" customWidth="1"/>
    <col min="5" max="5" width="25.421875" style="0" customWidth="1"/>
    <col min="6" max="16384" width="10.8515625" style="0" customWidth="1"/>
  </cols>
  <sheetData>
    <row r="1" spans="1:6" s="5" customFormat="1" ht="24.75" customHeight="1">
      <c r="A1" s="3"/>
      <c r="B1" s="4" t="s">
        <v>25</v>
      </c>
      <c r="C1" s="4"/>
      <c r="D1" s="4"/>
      <c r="E1" s="4"/>
      <c r="F1" s="4"/>
    </row>
    <row r="2" spans="1:6" s="5" customFormat="1" ht="12.75" customHeight="1">
      <c r="A2" s="3"/>
      <c r="B2" s="6"/>
      <c r="C2" s="6"/>
      <c r="D2" s="6"/>
      <c r="E2" s="6"/>
      <c r="F2" s="7"/>
    </row>
    <row r="3" spans="1:6" s="5" customFormat="1" ht="31.5" customHeight="1">
      <c r="A3" s="3"/>
      <c r="B3" s="4" t="s">
        <v>26</v>
      </c>
      <c r="C3" s="4"/>
      <c r="D3" s="4"/>
      <c r="E3" s="4"/>
      <c r="F3" s="4"/>
    </row>
    <row r="4" spans="1:6" ht="12" customHeight="1">
      <c r="A4" s="8"/>
      <c r="B4" s="9"/>
      <c r="C4" s="9"/>
      <c r="D4" s="9"/>
      <c r="E4" s="9"/>
      <c r="F4" s="10"/>
    </row>
    <row r="5" spans="1:6" s="5" customFormat="1" ht="24.75" customHeight="1">
      <c r="A5" s="3"/>
      <c r="B5" s="11" t="s">
        <v>27</v>
      </c>
      <c r="C5" s="11"/>
      <c r="D5" s="11"/>
      <c r="E5" s="11"/>
      <c r="F5" s="11"/>
    </row>
    <row r="6" spans="1:6" ht="24.75" customHeight="1">
      <c r="A6" s="8"/>
      <c r="B6" s="11" t="s">
        <v>28</v>
      </c>
      <c r="C6" s="11"/>
      <c r="D6" s="11"/>
      <c r="E6" s="11"/>
      <c r="F6" s="11"/>
    </row>
    <row r="7" spans="1:6" ht="21.75" customHeight="1">
      <c r="A7" s="8"/>
      <c r="B7" s="11" t="s">
        <v>29</v>
      </c>
      <c r="C7" s="11"/>
      <c r="D7" s="11"/>
      <c r="E7" s="11"/>
      <c r="F7" s="11"/>
    </row>
    <row r="8" spans="1:6" ht="21.75" customHeight="1">
      <c r="A8" s="8"/>
      <c r="B8" s="11" t="s">
        <v>30</v>
      </c>
      <c r="C8" s="11"/>
      <c r="D8" s="11"/>
      <c r="E8" s="11"/>
      <c r="F8" s="11"/>
    </row>
    <row r="9" spans="1:6" ht="21.75" customHeight="1">
      <c r="A9" s="8"/>
      <c r="B9" s="11"/>
      <c r="C9" s="11"/>
      <c r="D9" s="11"/>
      <c r="E9" s="11"/>
      <c r="F9" s="11"/>
    </row>
    <row r="10" spans="1:6" ht="14.25" customHeight="1">
      <c r="A10" s="8"/>
      <c r="B10" s="8"/>
      <c r="C10" s="8"/>
      <c r="D10" s="8"/>
      <c r="E10" s="8"/>
      <c r="F10" s="8"/>
    </row>
    <row r="11" spans="1:6" ht="14.25" customHeight="1">
      <c r="A11" s="8"/>
      <c r="B11" s="8"/>
      <c r="C11" s="8"/>
      <c r="D11" s="8"/>
      <c r="E11" s="8"/>
      <c r="F11" s="8"/>
    </row>
    <row r="12" spans="1:6" ht="28.5" customHeight="1">
      <c r="A12" s="8"/>
      <c r="B12" s="12" t="s">
        <v>31</v>
      </c>
      <c r="C12" s="12"/>
      <c r="D12" s="12"/>
      <c r="E12" s="12"/>
      <c r="F12" s="12"/>
    </row>
    <row r="13" spans="1:6" ht="14.25" customHeight="1">
      <c r="A13" s="8"/>
      <c r="B13" s="9"/>
      <c r="C13" s="9"/>
      <c r="D13" s="9"/>
      <c r="E13" s="9"/>
      <c r="F13" s="10"/>
    </row>
    <row r="14" spans="1:6" s="15" customFormat="1" ht="25.5" customHeight="1">
      <c r="A14" s="13" t="s">
        <v>32</v>
      </c>
      <c r="B14" s="11" t="s">
        <v>33</v>
      </c>
      <c r="C14" s="11"/>
      <c r="D14" s="11"/>
      <c r="E14" s="14" t="s">
        <v>34</v>
      </c>
      <c r="F14" s="14"/>
    </row>
    <row r="15" spans="1:6" s="15" customFormat="1" ht="25.5" customHeight="1">
      <c r="A15" s="13" t="s">
        <v>35</v>
      </c>
      <c r="B15" s="11" t="s">
        <v>36</v>
      </c>
      <c r="C15" s="11"/>
      <c r="D15" s="11"/>
      <c r="E15" s="14" t="s">
        <v>37</v>
      </c>
      <c r="F15" s="14"/>
    </row>
    <row r="16" spans="1:6" s="15" customFormat="1" ht="25.5" customHeight="1">
      <c r="A16" s="13" t="s">
        <v>38</v>
      </c>
      <c r="B16" s="11" t="s">
        <v>39</v>
      </c>
      <c r="C16" s="11"/>
      <c r="D16" s="11"/>
      <c r="E16" s="14" t="s">
        <v>40</v>
      </c>
      <c r="F16" s="14"/>
    </row>
    <row r="17" spans="1:6" s="15" customFormat="1" ht="25.5" customHeight="1">
      <c r="A17" s="13" t="s">
        <v>41</v>
      </c>
      <c r="B17" s="11" t="s">
        <v>42</v>
      </c>
      <c r="C17" s="11"/>
      <c r="D17" s="11"/>
      <c r="E17" s="14" t="s">
        <v>43</v>
      </c>
      <c r="F17" s="14"/>
    </row>
    <row r="18" ht="21.75" customHeight="1"/>
  </sheetData>
  <sheetProtection sheet="1" selectLockedCells="1"/>
  <mergeCells count="18">
    <mergeCell ref="B1:F1"/>
    <mergeCell ref="B3:F3"/>
    <mergeCell ref="B4:E4"/>
    <mergeCell ref="B5:F5"/>
    <mergeCell ref="B6:F6"/>
    <mergeCell ref="B7:F7"/>
    <mergeCell ref="B8:F8"/>
    <mergeCell ref="B9:F9"/>
    <mergeCell ref="B12:F12"/>
    <mergeCell ref="B13:E13"/>
    <mergeCell ref="B14:C14"/>
    <mergeCell ref="E14:F14"/>
    <mergeCell ref="B15:C15"/>
    <mergeCell ref="E15:F15"/>
    <mergeCell ref="B16:C16"/>
    <mergeCell ref="E16:F16"/>
    <mergeCell ref="B17:C17"/>
    <mergeCell ref="E17:F17"/>
  </mergeCells>
  <printOptions/>
  <pageMargins left="0.6701388888888888" right="0.2798611111111111" top="0.44027777777777777" bottom="0.5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4"/>
  <sheetViews>
    <sheetView zoomScale="75" zoomScaleNormal="75" workbookViewId="0" topLeftCell="A1">
      <selection activeCell="C22" sqref="C22"/>
    </sheetView>
  </sheetViews>
  <sheetFormatPr defaultColWidth="9.140625" defaultRowHeight="12.75" customHeight="1"/>
  <cols>
    <col min="1" max="1" width="4.421875" style="16" customWidth="1"/>
    <col min="2" max="2" width="20.140625" style="16" customWidth="1"/>
    <col min="3" max="6" width="22.7109375" style="16" customWidth="1"/>
    <col min="7" max="16384" width="10.57421875" style="16" customWidth="1"/>
  </cols>
  <sheetData>
    <row r="1" spans="1:6" ht="20.25" customHeight="1">
      <c r="A1" s="17"/>
      <c r="B1" s="18"/>
      <c r="C1" s="19">
        <f>Termin</f>
        <v>0</v>
      </c>
      <c r="D1" s="19"/>
      <c r="E1" s="19"/>
      <c r="F1" s="19"/>
    </row>
    <row r="2" spans="1:6" ht="10.5" customHeight="1">
      <c r="A2" s="17"/>
      <c r="B2" s="18"/>
      <c r="C2" s="20"/>
      <c r="D2" s="20"/>
      <c r="E2" s="20"/>
      <c r="F2" s="20"/>
    </row>
    <row r="3" spans="1:62" s="23" customFormat="1" ht="18.75" customHeight="1">
      <c r="A3" s="17"/>
      <c r="B3" s="18"/>
      <c r="C3" s="21" t="s">
        <v>44</v>
      </c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1:62" s="23" customFormat="1" ht="18.75" customHeight="1">
      <c r="A4" s="17"/>
      <c r="B4" s="18"/>
      <c r="C4" s="24">
        <f>Station1</f>
        <v>0</v>
      </c>
      <c r="D4" s="19">
        <f>Text1</f>
        <v>0</v>
      </c>
      <c r="E4" s="19"/>
      <c r="F4" s="1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s="23" customFormat="1" ht="14.25" customHeight="1">
      <c r="A5" s="17"/>
      <c r="B5" s="18"/>
      <c r="C5" s="18"/>
      <c r="D5" s="18"/>
      <c r="E5" s="18"/>
      <c r="F5" s="18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s="23" customFormat="1" ht="45" customHeight="1">
      <c r="A6" s="25" t="s">
        <v>45</v>
      </c>
      <c r="B6" s="26"/>
      <c r="C6" s="27">
        <f>Team1</f>
        <v>0</v>
      </c>
      <c r="D6" s="28">
        <f>Team2</f>
        <v>0</v>
      </c>
      <c r="E6" s="28">
        <f>Team3</f>
        <v>0</v>
      </c>
      <c r="F6" s="28">
        <f>Team4</f>
        <v>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s="23" customFormat="1" ht="18.75" customHeight="1">
      <c r="A7" s="29">
        <v>1</v>
      </c>
      <c r="B7" s="27" t="s">
        <v>46</v>
      </c>
      <c r="C7" s="30">
        <v>14</v>
      </c>
      <c r="D7" s="30">
        <v>14</v>
      </c>
      <c r="E7" s="30">
        <v>16</v>
      </c>
      <c r="F7" s="30">
        <v>18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2" s="23" customFormat="1" ht="18.75" customHeight="1">
      <c r="A8" s="29">
        <v>2</v>
      </c>
      <c r="B8" s="27" t="s">
        <v>46</v>
      </c>
      <c r="C8" s="30">
        <v>14</v>
      </c>
      <c r="D8" s="30">
        <v>5</v>
      </c>
      <c r="E8" s="30">
        <v>8</v>
      </c>
      <c r="F8" s="30">
        <v>9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s="23" customFormat="1" ht="18.75" customHeight="1">
      <c r="A9" s="29">
        <v>3</v>
      </c>
      <c r="B9" s="27" t="s">
        <v>46</v>
      </c>
      <c r="C9" s="30">
        <v>12</v>
      </c>
      <c r="D9" s="30">
        <v>8</v>
      </c>
      <c r="E9" s="30">
        <v>16</v>
      </c>
      <c r="F9" s="30">
        <v>14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s="23" customFormat="1" ht="18.75" customHeight="1">
      <c r="A10" s="29">
        <v>4</v>
      </c>
      <c r="B10" s="27" t="s">
        <v>46</v>
      </c>
      <c r="C10" s="30">
        <v>12</v>
      </c>
      <c r="D10" s="30">
        <v>14</v>
      </c>
      <c r="E10" s="30">
        <v>11</v>
      </c>
      <c r="F10" s="30">
        <v>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23" customFormat="1" ht="18.75" customHeight="1">
      <c r="A11" s="29">
        <v>5</v>
      </c>
      <c r="B11" s="27" t="s">
        <v>46</v>
      </c>
      <c r="C11" s="30">
        <v>6</v>
      </c>
      <c r="D11" s="30">
        <v>16</v>
      </c>
      <c r="E11" s="30">
        <v>11</v>
      </c>
      <c r="F11" s="30">
        <v>15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</row>
    <row r="12" spans="1:62" s="23" customFormat="1" ht="18.75" customHeight="1">
      <c r="A12" s="29">
        <v>6</v>
      </c>
      <c r="B12" s="27" t="s">
        <v>46</v>
      </c>
      <c r="C12" s="30">
        <v>13</v>
      </c>
      <c r="D12" s="30">
        <v>3</v>
      </c>
      <c r="E12" s="30">
        <v>10</v>
      </c>
      <c r="F12" s="30">
        <v>11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1:62" s="23" customFormat="1" ht="18.75" customHeight="1">
      <c r="A13" s="29">
        <v>7</v>
      </c>
      <c r="B13" s="27" t="s">
        <v>46</v>
      </c>
      <c r="C13" s="30">
        <v>4</v>
      </c>
      <c r="D13" s="30">
        <v>13</v>
      </c>
      <c r="E13" s="30"/>
      <c r="F13" s="30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1:62" s="23" customFormat="1" ht="18.75" customHeight="1">
      <c r="A14" s="29">
        <v>8</v>
      </c>
      <c r="B14" s="27" t="s">
        <v>46</v>
      </c>
      <c r="C14" s="30">
        <v>14</v>
      </c>
      <c r="D14" s="30"/>
      <c r="E14" s="30"/>
      <c r="F14" s="30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1:62" s="23" customFormat="1" ht="18.75" customHeight="1">
      <c r="A15" s="29">
        <v>9</v>
      </c>
      <c r="B15" s="27" t="s">
        <v>46</v>
      </c>
      <c r="C15" s="30">
        <v>7</v>
      </c>
      <c r="D15" s="30"/>
      <c r="E15" s="30"/>
      <c r="F15" s="30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</row>
    <row r="16" spans="1:62" s="23" customFormat="1" ht="18.75" customHeight="1">
      <c r="A16" s="29">
        <v>10</v>
      </c>
      <c r="B16" s="27" t="s">
        <v>46</v>
      </c>
      <c r="C16" s="30"/>
      <c r="D16" s="30"/>
      <c r="E16" s="30"/>
      <c r="F16" s="30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</row>
    <row r="17" spans="1:62" s="23" customFormat="1" ht="10.5" customHeight="1">
      <c r="A17" s="17"/>
      <c r="B17" s="18"/>
      <c r="C17" s="18"/>
      <c r="D17" s="18"/>
      <c r="E17" s="18"/>
      <c r="F17" s="18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</row>
    <row r="18" spans="1:62" s="23" customFormat="1" ht="23.25" customHeight="1">
      <c r="A18" s="31"/>
      <c r="B18" s="27" t="s">
        <v>47</v>
      </c>
      <c r="C18" s="27">
        <f>SUM(C7:C16)</f>
        <v>96</v>
      </c>
      <c r="D18" s="27">
        <f>SUM(D7:D16)</f>
        <v>73</v>
      </c>
      <c r="E18" s="27">
        <f>SUM(E7:E16)</f>
        <v>72</v>
      </c>
      <c r="F18" s="27">
        <f>SUM(F7:F16)</f>
        <v>73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</row>
    <row r="19" spans="1:6" ht="9.75" customHeight="1">
      <c r="A19" s="31"/>
      <c r="B19" s="20"/>
      <c r="C19" s="20"/>
      <c r="D19" s="20"/>
      <c r="E19" s="20"/>
      <c r="F19" s="20"/>
    </row>
    <row r="20" spans="1:6" ht="23.25" customHeight="1">
      <c r="A20" s="31"/>
      <c r="B20" s="27" t="s">
        <v>48</v>
      </c>
      <c r="C20" s="27">
        <f>COUNT(C7:C16)</f>
        <v>9</v>
      </c>
      <c r="D20" s="27">
        <f>COUNT(D7:D16)</f>
        <v>7</v>
      </c>
      <c r="E20" s="27">
        <f>COUNT(E7:E16)</f>
        <v>6</v>
      </c>
      <c r="F20" s="27">
        <f>COUNT(F7:F16)</f>
        <v>6</v>
      </c>
    </row>
    <row r="21" spans="1:6" ht="9.75" customHeight="1">
      <c r="A21" s="31"/>
      <c r="B21" s="20"/>
      <c r="C21" s="20"/>
      <c r="D21" s="20"/>
      <c r="E21" s="20"/>
      <c r="F21" s="20"/>
    </row>
    <row r="22" spans="1:6" ht="23.25" customHeight="1">
      <c r="A22" s="31"/>
      <c r="B22" s="27" t="s">
        <v>49</v>
      </c>
      <c r="C22" s="27">
        <f>_xlfn.IFERROR(ROUND(C18/C20,1),"")</f>
        <v>10.7</v>
      </c>
      <c r="D22" s="27">
        <f>_xlfn.IFERROR(ROUND(D18/D20,1),"")</f>
        <v>10.4</v>
      </c>
      <c r="E22" s="27">
        <f>_xlfn.IFERROR(ROUND(E18/E20,1),"")</f>
        <v>12</v>
      </c>
      <c r="F22" s="27">
        <f>_xlfn.IFERROR(ROUND(F18/F20,1),"")</f>
        <v>12.2</v>
      </c>
    </row>
    <row r="23" spans="1:6" ht="9.75" customHeight="1">
      <c r="A23" s="31"/>
      <c r="B23" s="20"/>
      <c r="C23" s="20"/>
      <c r="D23" s="20"/>
      <c r="E23" s="20"/>
      <c r="F23" s="20"/>
    </row>
    <row r="24" spans="1:6" ht="22.5" customHeight="1">
      <c r="A24" s="31"/>
      <c r="B24" s="27" t="s">
        <v>50</v>
      </c>
      <c r="C24" s="27">
        <f>_xlfn.IFERROR(_xlfn.RANK.EQ(C22,C22:F22),"")</f>
        <v>3</v>
      </c>
      <c r="D24" s="27">
        <f>_xlfn.IFERROR(_xlfn.RANK.EQ(D22,C22:F22),"")</f>
        <v>4</v>
      </c>
      <c r="E24" s="27">
        <f>_xlfn.IFERROR(_xlfn.RANK.EQ(E22,C22:F22),"")</f>
        <v>2</v>
      </c>
      <c r="F24" s="27">
        <f>_xlfn.IFERROR(_xlfn.RANK.EQ(F22,C22:F22),"")</f>
        <v>1</v>
      </c>
    </row>
    <row r="65535" ht="12.75" customHeight="1"/>
    <row r="65536" ht="12.75" customHeight="1"/>
  </sheetData>
  <sheetProtection sheet="1" selectLockedCells="1"/>
  <mergeCells count="3">
    <mergeCell ref="C1:F1"/>
    <mergeCell ref="C3:F3"/>
    <mergeCell ref="D4:F4"/>
  </mergeCells>
  <printOptions/>
  <pageMargins left="0.37222222222222223" right="0.41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24"/>
  <sheetViews>
    <sheetView zoomScale="75" zoomScaleNormal="75" workbookViewId="0" topLeftCell="A1">
      <selection activeCell="E13" sqref="E13"/>
    </sheetView>
  </sheetViews>
  <sheetFormatPr defaultColWidth="9.140625" defaultRowHeight="12.75" customHeight="1"/>
  <cols>
    <col min="1" max="1" width="4.421875" style="16" customWidth="1"/>
    <col min="2" max="2" width="17.8515625" style="16" customWidth="1"/>
    <col min="3" max="6" width="22.7109375" style="16" customWidth="1"/>
    <col min="7" max="16384" width="10.57421875" style="16" customWidth="1"/>
  </cols>
  <sheetData>
    <row r="1" spans="1:6" ht="17.25" customHeight="1">
      <c r="A1" s="18"/>
      <c r="B1" s="18"/>
      <c r="C1" s="19">
        <f>Termin</f>
        <v>0</v>
      </c>
      <c r="D1" s="19"/>
      <c r="E1" s="19"/>
      <c r="F1" s="19"/>
    </row>
    <row r="2" spans="1:6" ht="10.5" customHeight="1">
      <c r="A2" s="18"/>
      <c r="B2" s="18"/>
      <c r="C2" s="20"/>
      <c r="D2" s="20"/>
      <c r="E2" s="20"/>
      <c r="F2" s="20"/>
    </row>
    <row r="3" spans="1:62" s="23" customFormat="1" ht="18.75" customHeight="1">
      <c r="A3" s="18"/>
      <c r="B3" s="18"/>
      <c r="C3" s="21" t="s">
        <v>51</v>
      </c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1:62" s="23" customFormat="1" ht="18.75" customHeight="1">
      <c r="A4" s="18"/>
      <c r="B4" s="18"/>
      <c r="C4" s="24">
        <f>Station2</f>
        <v>0</v>
      </c>
      <c r="D4" s="19">
        <f>Text2</f>
        <v>0</v>
      </c>
      <c r="E4" s="19"/>
      <c r="F4" s="1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s="23" customFormat="1" ht="14.25" customHeight="1">
      <c r="A5" s="18"/>
      <c r="B5" s="18"/>
      <c r="C5" s="18"/>
      <c r="D5" s="18"/>
      <c r="E5" s="18"/>
      <c r="F5" s="18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s="23" customFormat="1" ht="45" customHeight="1">
      <c r="A6" s="26" t="s">
        <v>45</v>
      </c>
      <c r="B6" s="26"/>
      <c r="C6" s="27">
        <f>Team1</f>
        <v>0</v>
      </c>
      <c r="D6" s="28">
        <f>Team2</f>
        <v>0</v>
      </c>
      <c r="E6" s="28">
        <f>Team3</f>
        <v>0</v>
      </c>
      <c r="F6" s="28">
        <f>Team4</f>
        <v>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s="23" customFormat="1" ht="18.75" customHeight="1">
      <c r="A7" s="27">
        <v>1</v>
      </c>
      <c r="B7" s="27" t="s">
        <v>46</v>
      </c>
      <c r="C7" s="30">
        <v>8</v>
      </c>
      <c r="D7" s="30">
        <v>7</v>
      </c>
      <c r="E7" s="30">
        <v>6</v>
      </c>
      <c r="F7" s="30">
        <v>9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2" s="23" customFormat="1" ht="18.75" customHeight="1">
      <c r="A8" s="27">
        <v>2</v>
      </c>
      <c r="B8" s="27" t="s">
        <v>46</v>
      </c>
      <c r="C8" s="30">
        <v>8</v>
      </c>
      <c r="D8" s="30">
        <v>2</v>
      </c>
      <c r="E8" s="30">
        <v>4</v>
      </c>
      <c r="F8" s="30">
        <v>5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s="23" customFormat="1" ht="18.75" customHeight="1">
      <c r="A9" s="27">
        <v>3</v>
      </c>
      <c r="B9" s="27" t="s">
        <v>46</v>
      </c>
      <c r="C9" s="30">
        <v>4</v>
      </c>
      <c r="D9" s="30">
        <v>6</v>
      </c>
      <c r="E9" s="30">
        <v>9</v>
      </c>
      <c r="F9" s="30">
        <v>8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s="23" customFormat="1" ht="18.75" customHeight="1">
      <c r="A10" s="27">
        <v>4</v>
      </c>
      <c r="B10" s="27" t="s">
        <v>46</v>
      </c>
      <c r="C10" s="30">
        <v>7</v>
      </c>
      <c r="D10" s="30">
        <v>7</v>
      </c>
      <c r="E10" s="30">
        <v>5</v>
      </c>
      <c r="F10" s="30">
        <v>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23" customFormat="1" ht="18.75" customHeight="1">
      <c r="A11" s="27">
        <v>5</v>
      </c>
      <c r="B11" s="27" t="s">
        <v>46</v>
      </c>
      <c r="C11" s="30">
        <v>6</v>
      </c>
      <c r="D11" s="30">
        <v>7</v>
      </c>
      <c r="E11" s="30">
        <v>8</v>
      </c>
      <c r="F11" s="30">
        <v>6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</row>
    <row r="12" spans="1:62" s="23" customFormat="1" ht="18.75" customHeight="1">
      <c r="A12" s="27">
        <v>6</v>
      </c>
      <c r="B12" s="27" t="s">
        <v>46</v>
      </c>
      <c r="C12" s="30">
        <v>7</v>
      </c>
      <c r="D12" s="30">
        <v>2</v>
      </c>
      <c r="E12" s="30">
        <v>4</v>
      </c>
      <c r="F12" s="30">
        <v>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1:62" s="23" customFormat="1" ht="18.75" customHeight="1">
      <c r="A13" s="27">
        <v>7</v>
      </c>
      <c r="B13" s="27" t="s">
        <v>46</v>
      </c>
      <c r="C13" s="30">
        <v>4</v>
      </c>
      <c r="D13" s="30">
        <v>10</v>
      </c>
      <c r="E13" s="30"/>
      <c r="F13" s="30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1:62" s="23" customFormat="1" ht="18.75" customHeight="1">
      <c r="A14" s="27">
        <v>8</v>
      </c>
      <c r="B14" s="27" t="s">
        <v>46</v>
      </c>
      <c r="C14" s="30">
        <v>8</v>
      </c>
      <c r="D14" s="30"/>
      <c r="E14" s="30"/>
      <c r="F14" s="30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1:62" s="23" customFormat="1" ht="18.75" customHeight="1">
      <c r="A15" s="27">
        <v>9</v>
      </c>
      <c r="B15" s="27" t="s">
        <v>46</v>
      </c>
      <c r="C15" s="30">
        <v>9</v>
      </c>
      <c r="D15" s="30"/>
      <c r="E15" s="30"/>
      <c r="F15" s="30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</row>
    <row r="16" spans="1:62" s="23" customFormat="1" ht="18.75" customHeight="1">
      <c r="A16" s="27">
        <v>10</v>
      </c>
      <c r="B16" s="27" t="s">
        <v>46</v>
      </c>
      <c r="C16" s="30"/>
      <c r="D16" s="30"/>
      <c r="E16" s="30"/>
      <c r="F16" s="30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</row>
    <row r="17" spans="1:62" s="23" customFormat="1" ht="10.5" customHeight="1">
      <c r="A17" s="18"/>
      <c r="B17" s="18"/>
      <c r="C17" s="18"/>
      <c r="D17" s="18"/>
      <c r="E17" s="18"/>
      <c r="F17" s="18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</row>
    <row r="18" spans="1:62" s="23" customFormat="1" ht="23.25" customHeight="1">
      <c r="A18" s="20"/>
      <c r="B18" s="27" t="s">
        <v>47</v>
      </c>
      <c r="C18" s="27">
        <f>SUM(C7:C16)</f>
        <v>61</v>
      </c>
      <c r="D18" s="27">
        <f>SUM(D7:D16)</f>
        <v>41</v>
      </c>
      <c r="E18" s="27">
        <f>SUM(E7:E16)</f>
        <v>36</v>
      </c>
      <c r="F18" s="27">
        <f>SUM(F7:F16)</f>
        <v>38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</row>
    <row r="19" spans="1:6" ht="9.75" customHeight="1">
      <c r="A19" s="20"/>
      <c r="B19" s="20"/>
      <c r="C19" s="20"/>
      <c r="D19" s="20"/>
      <c r="E19" s="20"/>
      <c r="F19" s="20"/>
    </row>
    <row r="20" spans="1:6" ht="23.25" customHeight="1">
      <c r="A20" s="20"/>
      <c r="B20" s="27" t="s">
        <v>48</v>
      </c>
      <c r="C20" s="27">
        <f>COUNT(C7:C16)</f>
        <v>9</v>
      </c>
      <c r="D20" s="27">
        <f>COUNT(D7:D16)</f>
        <v>7</v>
      </c>
      <c r="E20" s="27">
        <f>COUNT(E7:E16)</f>
        <v>6</v>
      </c>
      <c r="F20" s="27">
        <f>COUNT(F7:F16)</f>
        <v>6</v>
      </c>
    </row>
    <row r="21" spans="1:6" ht="9.75" customHeight="1">
      <c r="A21" s="20"/>
      <c r="B21" s="20"/>
      <c r="C21" s="20"/>
      <c r="D21" s="20"/>
      <c r="E21" s="20"/>
      <c r="F21" s="20"/>
    </row>
    <row r="22" spans="1:6" ht="23.25" customHeight="1">
      <c r="A22" s="20"/>
      <c r="B22" s="27" t="s">
        <v>49</v>
      </c>
      <c r="C22" s="27">
        <f>_xlfn.IFERROR(ROUND(C18/C20,1),"")</f>
        <v>6.8</v>
      </c>
      <c r="D22" s="27">
        <f>_xlfn.IFERROR(ROUND(D18/D20,1),"")</f>
        <v>5.9</v>
      </c>
      <c r="E22" s="27">
        <f>_xlfn.IFERROR(ROUND(E18/E20,1),"")</f>
        <v>6</v>
      </c>
      <c r="F22" s="27">
        <f>_xlfn.IFERROR(ROUND(F18/F20,1),"")</f>
        <v>6.3</v>
      </c>
    </row>
    <row r="23" spans="1:6" ht="9.75" customHeight="1">
      <c r="A23" s="20"/>
      <c r="B23" s="20"/>
      <c r="C23" s="20"/>
      <c r="D23" s="20"/>
      <c r="E23" s="20"/>
      <c r="F23" s="20"/>
    </row>
    <row r="24" spans="1:6" ht="22.5" customHeight="1">
      <c r="A24" s="20"/>
      <c r="B24" s="27" t="s">
        <v>50</v>
      </c>
      <c r="C24" s="27">
        <f>_xlfn.IFERROR(_xlfn.RANK.EQ(C22,C22:F22),"")</f>
        <v>1</v>
      </c>
      <c r="D24" s="27">
        <f>_xlfn.IFERROR(_xlfn.RANK.EQ(D22,C22:F22),"")</f>
        <v>4</v>
      </c>
      <c r="E24" s="27">
        <f>_xlfn.IFERROR(_xlfn.RANK.EQ(E22,C22:F22),"")</f>
        <v>3</v>
      </c>
      <c r="F24" s="27">
        <f>_xlfn.IFERROR(_xlfn.RANK.EQ(F22,C22:F22),"")</f>
        <v>2</v>
      </c>
    </row>
    <row r="65535" ht="12.75" customHeight="1"/>
    <row r="65536" ht="12.75" customHeight="1"/>
  </sheetData>
  <sheetProtection sheet="1" selectLockedCells="1"/>
  <mergeCells count="3">
    <mergeCell ref="C1:F1"/>
    <mergeCell ref="C3:F3"/>
    <mergeCell ref="D4:F4"/>
  </mergeCells>
  <printOptions/>
  <pageMargins left="0.37222222222222223" right="0.41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24"/>
  <sheetViews>
    <sheetView zoomScale="75" zoomScaleNormal="75" workbookViewId="0" topLeftCell="A1">
      <selection activeCell="C20" sqref="C20"/>
    </sheetView>
  </sheetViews>
  <sheetFormatPr defaultColWidth="9.140625" defaultRowHeight="12.75" customHeight="1"/>
  <cols>
    <col min="1" max="1" width="4.421875" style="16" customWidth="1"/>
    <col min="2" max="2" width="17.8515625" style="16" customWidth="1"/>
    <col min="3" max="6" width="22.7109375" style="16" customWidth="1"/>
    <col min="7" max="16384" width="10.57421875" style="16" customWidth="1"/>
  </cols>
  <sheetData>
    <row r="1" spans="1:6" ht="18.75" customHeight="1">
      <c r="A1" s="18"/>
      <c r="B1" s="18"/>
      <c r="C1" s="19">
        <f>Termin</f>
        <v>0</v>
      </c>
      <c r="D1" s="19"/>
      <c r="E1" s="19"/>
      <c r="F1" s="19"/>
    </row>
    <row r="2" spans="1:6" ht="10.5" customHeight="1">
      <c r="A2" s="18"/>
      <c r="B2" s="18"/>
      <c r="C2" s="20"/>
      <c r="D2" s="20"/>
      <c r="E2" s="20"/>
      <c r="F2" s="20"/>
    </row>
    <row r="3" spans="1:62" s="23" customFormat="1" ht="18.75" customHeight="1">
      <c r="A3" s="18"/>
      <c r="B3" s="18"/>
      <c r="C3" s="21" t="s">
        <v>52</v>
      </c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1:62" s="23" customFormat="1" ht="18.75" customHeight="1">
      <c r="A4" s="18"/>
      <c r="B4" s="18"/>
      <c r="C4" s="24">
        <f>Station3</f>
        <v>0</v>
      </c>
      <c r="D4" s="19">
        <f>Text3</f>
        <v>0</v>
      </c>
      <c r="E4" s="19"/>
      <c r="F4" s="1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s="23" customFormat="1" ht="14.25" customHeight="1">
      <c r="A5" s="18"/>
      <c r="B5" s="18"/>
      <c r="C5" s="18"/>
      <c r="D5" s="18"/>
      <c r="E5" s="18"/>
      <c r="F5" s="18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s="23" customFormat="1" ht="45" customHeight="1">
      <c r="A6" s="26" t="s">
        <v>45</v>
      </c>
      <c r="B6" s="26"/>
      <c r="C6" s="27">
        <f>Team1</f>
        <v>0</v>
      </c>
      <c r="D6" s="28">
        <f>Team2</f>
        <v>0</v>
      </c>
      <c r="E6" s="28">
        <f>Team3</f>
        <v>0</v>
      </c>
      <c r="F6" s="28">
        <f>Team4</f>
        <v>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s="23" customFormat="1" ht="18.75" customHeight="1">
      <c r="A7" s="27">
        <v>1</v>
      </c>
      <c r="B7" s="27" t="s">
        <v>53</v>
      </c>
      <c r="C7" s="30">
        <v>9.4</v>
      </c>
      <c r="D7" s="30">
        <v>9.9</v>
      </c>
      <c r="E7" s="30">
        <v>11</v>
      </c>
      <c r="F7" s="30">
        <v>10.1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2" s="23" customFormat="1" ht="18.75" customHeight="1">
      <c r="A8" s="27">
        <v>2</v>
      </c>
      <c r="B8" s="27" t="s">
        <v>53</v>
      </c>
      <c r="C8" s="30">
        <v>8.6</v>
      </c>
      <c r="D8" s="30">
        <v>4.5</v>
      </c>
      <c r="E8" s="30">
        <v>7.1</v>
      </c>
      <c r="F8" s="30">
        <v>6.9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s="23" customFormat="1" ht="18.75" customHeight="1">
      <c r="A9" s="27">
        <v>3</v>
      </c>
      <c r="B9" s="27" t="s">
        <v>53</v>
      </c>
      <c r="C9" s="30">
        <v>8.5</v>
      </c>
      <c r="D9" s="30">
        <v>6</v>
      </c>
      <c r="E9" s="30">
        <v>10.5</v>
      </c>
      <c r="F9" s="30">
        <v>10.1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s="23" customFormat="1" ht="18.75" customHeight="1">
      <c r="A10" s="27">
        <v>4</v>
      </c>
      <c r="B10" s="27" t="s">
        <v>53</v>
      </c>
      <c r="C10" s="30">
        <v>7.6</v>
      </c>
      <c r="D10" s="30">
        <v>4.7</v>
      </c>
      <c r="E10" s="30">
        <v>6.4</v>
      </c>
      <c r="F10" s="30">
        <v>6.2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23" customFormat="1" ht="18.75" customHeight="1">
      <c r="A11" s="27">
        <v>5</v>
      </c>
      <c r="B11" s="27" t="s">
        <v>53</v>
      </c>
      <c r="C11" s="30">
        <v>3.8</v>
      </c>
      <c r="D11" s="30">
        <v>9</v>
      </c>
      <c r="E11" s="30">
        <v>6.9</v>
      </c>
      <c r="F11" s="30">
        <v>8.3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</row>
    <row r="12" spans="1:62" s="23" customFormat="1" ht="18.75" customHeight="1">
      <c r="A12" s="27">
        <v>6</v>
      </c>
      <c r="B12" s="27" t="s">
        <v>53</v>
      </c>
      <c r="C12" s="30">
        <v>5.3</v>
      </c>
      <c r="D12" s="30">
        <v>4.1</v>
      </c>
      <c r="E12" s="30">
        <v>7.3</v>
      </c>
      <c r="F12" s="30">
        <v>6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1:62" s="23" customFormat="1" ht="18.75" customHeight="1">
      <c r="A13" s="27">
        <v>7</v>
      </c>
      <c r="B13" s="27" t="s">
        <v>53</v>
      </c>
      <c r="C13" s="30">
        <v>3.5</v>
      </c>
      <c r="D13" s="30">
        <v>8.6</v>
      </c>
      <c r="E13" s="30"/>
      <c r="F13" s="30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1:62" s="23" customFormat="1" ht="18.75" customHeight="1">
      <c r="A14" s="27">
        <v>8</v>
      </c>
      <c r="B14" s="27" t="s">
        <v>53</v>
      </c>
      <c r="C14" s="30">
        <v>8.4</v>
      </c>
      <c r="D14" s="30"/>
      <c r="E14" s="30"/>
      <c r="F14" s="30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1:62" s="23" customFormat="1" ht="18.75" customHeight="1">
      <c r="A15" s="27">
        <v>9</v>
      </c>
      <c r="B15" s="27" t="s">
        <v>53</v>
      </c>
      <c r="C15" s="30">
        <v>11.5</v>
      </c>
      <c r="D15" s="30"/>
      <c r="E15" s="30"/>
      <c r="F15" s="30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</row>
    <row r="16" spans="1:62" s="23" customFormat="1" ht="18.75" customHeight="1">
      <c r="A16" s="27">
        <v>10</v>
      </c>
      <c r="B16" s="27" t="s">
        <v>53</v>
      </c>
      <c r="C16" s="30"/>
      <c r="D16" s="30"/>
      <c r="E16" s="30"/>
      <c r="F16" s="30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</row>
    <row r="17" spans="1:62" s="23" customFormat="1" ht="10.5" customHeight="1">
      <c r="A17" s="18"/>
      <c r="B17" s="18"/>
      <c r="C17" s="18"/>
      <c r="D17" s="18"/>
      <c r="E17" s="18"/>
      <c r="F17" s="18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</row>
    <row r="18" spans="1:62" s="23" customFormat="1" ht="23.25" customHeight="1">
      <c r="A18" s="20"/>
      <c r="B18" s="27" t="s">
        <v>47</v>
      </c>
      <c r="C18" s="27">
        <f>SUM(C7:C16)</f>
        <v>66.60000000000001</v>
      </c>
      <c r="D18" s="27">
        <f>SUM(D7:D16)</f>
        <v>46.8</v>
      </c>
      <c r="E18" s="27">
        <f>SUM(E7:E16)</f>
        <v>49.199999999999996</v>
      </c>
      <c r="F18" s="27">
        <f>SUM(F7:F16)</f>
        <v>47.6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</row>
    <row r="19" spans="1:6" ht="9.75" customHeight="1">
      <c r="A19" s="20"/>
      <c r="B19" s="20"/>
      <c r="C19" s="20"/>
      <c r="D19" s="20"/>
      <c r="E19" s="20"/>
      <c r="F19" s="20"/>
    </row>
    <row r="20" spans="1:6" ht="23.25" customHeight="1">
      <c r="A20" s="20"/>
      <c r="B20" s="27" t="s">
        <v>48</v>
      </c>
      <c r="C20" s="27">
        <f>COUNT(C7:C16)</f>
        <v>9</v>
      </c>
      <c r="D20" s="27">
        <f>COUNT(D7:D16)</f>
        <v>7</v>
      </c>
      <c r="E20" s="27">
        <f>COUNT(E7:E16)</f>
        <v>6</v>
      </c>
      <c r="F20" s="27">
        <f>COUNT(F7:F16)</f>
        <v>6</v>
      </c>
    </row>
    <row r="21" spans="1:6" ht="9.75" customHeight="1">
      <c r="A21" s="20"/>
      <c r="B21" s="20"/>
      <c r="C21" s="20"/>
      <c r="D21" s="20"/>
      <c r="E21" s="20"/>
      <c r="F21" s="20"/>
    </row>
    <row r="22" spans="1:6" ht="23.25" customHeight="1">
      <c r="A22" s="20"/>
      <c r="B22" s="27" t="s">
        <v>49</v>
      </c>
      <c r="C22" s="27">
        <f>_xlfn.IFERROR(ROUND(C18/C20,1),"")</f>
        <v>7.4</v>
      </c>
      <c r="D22" s="27">
        <f>_xlfn.IFERROR(ROUND(D18/D20,1),"")</f>
        <v>6.7</v>
      </c>
      <c r="E22" s="27">
        <f>_xlfn.IFERROR(ROUND(E18/E20,1),"")</f>
        <v>8.2</v>
      </c>
      <c r="F22" s="27">
        <f>_xlfn.IFERROR(ROUND(F18/F20,1),"")</f>
        <v>7.9</v>
      </c>
    </row>
    <row r="23" spans="1:6" ht="9.75" customHeight="1">
      <c r="A23" s="20"/>
      <c r="B23" s="20"/>
      <c r="C23" s="20"/>
      <c r="D23" s="20"/>
      <c r="E23" s="20"/>
      <c r="F23" s="20"/>
    </row>
    <row r="24" spans="1:6" ht="22.5" customHeight="1">
      <c r="A24" s="20"/>
      <c r="B24" s="27" t="s">
        <v>50</v>
      </c>
      <c r="C24" s="27">
        <f>_xlfn.IFERROR(_xlfn.RANK.EQ(C22,C22:F22),"")</f>
        <v>3</v>
      </c>
      <c r="D24" s="27">
        <f>_xlfn.IFERROR(_xlfn.RANK.EQ(D22,C22:F22),"")</f>
        <v>4</v>
      </c>
      <c r="E24" s="27">
        <f>_xlfn.IFERROR(_xlfn.RANK.EQ(E22,C22:F22),"")</f>
        <v>1</v>
      </c>
      <c r="F24" s="27">
        <f>_xlfn.IFERROR(_xlfn.RANK.EQ(F22,C22:F22),"")</f>
        <v>2</v>
      </c>
    </row>
    <row r="65535" ht="12.75" customHeight="1"/>
    <row r="65536" ht="12.75" customHeight="1"/>
  </sheetData>
  <sheetProtection sheet="1" selectLockedCells="1"/>
  <mergeCells count="3">
    <mergeCell ref="C1:F1"/>
    <mergeCell ref="C3:F3"/>
    <mergeCell ref="D4:F4"/>
  </mergeCells>
  <printOptions/>
  <pageMargins left="0.37222222222222223" right="0.41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17"/>
  <sheetViews>
    <sheetView zoomScale="75" zoomScaleNormal="75" workbookViewId="0" topLeftCell="A1">
      <selection activeCell="C12" sqref="C12"/>
    </sheetView>
  </sheetViews>
  <sheetFormatPr defaultColWidth="9.140625" defaultRowHeight="12.75" customHeight="1"/>
  <cols>
    <col min="1" max="1" width="4.421875" style="16" customWidth="1"/>
    <col min="2" max="5" width="22.7109375" style="16" customWidth="1"/>
    <col min="6" max="6" width="22.140625" style="16" customWidth="1"/>
    <col min="7" max="16384" width="10.57421875" style="16" customWidth="1"/>
  </cols>
  <sheetData>
    <row r="1" spans="1:6" ht="28.5" customHeight="1">
      <c r="A1" s="18"/>
      <c r="B1" s="18"/>
      <c r="C1" s="19">
        <f>Termin</f>
        <v>0</v>
      </c>
      <c r="D1" s="19"/>
      <c r="E1" s="19"/>
      <c r="F1" s="19"/>
    </row>
    <row r="2" spans="1:6" ht="12.75" customHeight="1">
      <c r="A2" s="18"/>
      <c r="B2" s="18"/>
      <c r="C2" s="20"/>
      <c r="D2" s="20"/>
      <c r="E2" s="20"/>
      <c r="F2" s="20"/>
    </row>
    <row r="3" spans="1:62" s="23" customFormat="1" ht="18.75" customHeight="1">
      <c r="A3" s="18"/>
      <c r="B3" s="18"/>
      <c r="C3" s="21" t="s">
        <v>54</v>
      </c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1:62" s="23" customFormat="1" ht="18.75" customHeight="1">
      <c r="A4" s="18"/>
      <c r="B4" s="18"/>
      <c r="C4" s="24">
        <f>Station4</f>
        <v>0</v>
      </c>
      <c r="D4" s="19">
        <f>Text4</f>
        <v>0</v>
      </c>
      <c r="E4" s="19"/>
      <c r="F4" s="1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s="23" customFormat="1" ht="14.25" customHeight="1">
      <c r="A5" s="18"/>
      <c r="B5" s="18"/>
      <c r="C5" s="18"/>
      <c r="D5" s="18"/>
      <c r="E5" s="18"/>
      <c r="F5" s="18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s="23" customFormat="1" ht="45" customHeight="1">
      <c r="A6" s="26" t="s">
        <v>45</v>
      </c>
      <c r="B6" s="26"/>
      <c r="C6" s="27">
        <f>Team1</f>
        <v>0</v>
      </c>
      <c r="D6" s="28">
        <f>Team2</f>
        <v>0</v>
      </c>
      <c r="E6" s="28">
        <f>Team3</f>
        <v>0</v>
      </c>
      <c r="F6" s="28">
        <f>Team4</f>
        <v>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s="23" customFormat="1" ht="38.25" customHeight="1">
      <c r="A7" s="27">
        <v>1</v>
      </c>
      <c r="B7" s="27" t="s">
        <v>55</v>
      </c>
      <c r="C7" s="30">
        <v>64</v>
      </c>
      <c r="D7" s="30">
        <v>64</v>
      </c>
      <c r="E7" s="30">
        <v>56</v>
      </c>
      <c r="F7" s="30">
        <v>53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2" s="23" customFormat="1" ht="38.25" customHeight="1">
      <c r="A8" s="27">
        <v>2</v>
      </c>
      <c r="B8" s="27" t="s">
        <v>55</v>
      </c>
      <c r="C8" s="30">
        <v>62</v>
      </c>
      <c r="D8" s="30">
        <v>68</v>
      </c>
      <c r="E8" s="30">
        <v>54</v>
      </c>
      <c r="F8" s="30">
        <v>50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s="23" customFormat="1" ht="10.5" customHeight="1">
      <c r="A9" s="18"/>
      <c r="B9" s="18"/>
      <c r="C9" s="18"/>
      <c r="D9" s="18"/>
      <c r="E9" s="18"/>
      <c r="F9" s="18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s="23" customFormat="1" ht="23.25" customHeight="1">
      <c r="A10" s="20"/>
      <c r="B10" s="27" t="s">
        <v>47</v>
      </c>
      <c r="C10" s="27">
        <f>SUM(C7:C8)</f>
        <v>126</v>
      </c>
      <c r="D10" s="27">
        <f>SUM(D7:D8)</f>
        <v>132</v>
      </c>
      <c r="E10" s="27">
        <f>SUM(E7:E8)</f>
        <v>110</v>
      </c>
      <c r="F10" s="27">
        <f>SUM(F7:F8)</f>
        <v>103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" ht="9.75" customHeight="1">
      <c r="A11" s="20"/>
      <c r="B11" s="20"/>
      <c r="C11" s="20"/>
      <c r="D11" s="20"/>
      <c r="E11" s="20"/>
      <c r="F11" s="20"/>
    </row>
    <row r="12" spans="1:6" ht="23.25" customHeight="1">
      <c r="A12" s="20"/>
      <c r="B12" s="27" t="s">
        <v>48</v>
      </c>
      <c r="C12" s="27">
        <f>anzahlteam1</f>
        <v>9</v>
      </c>
      <c r="D12" s="27">
        <f>anzahlteam2</f>
        <v>7</v>
      </c>
      <c r="E12" s="27">
        <f>anzahlteam3</f>
        <v>6</v>
      </c>
      <c r="F12" s="27">
        <f>anzahlteam4</f>
        <v>6</v>
      </c>
    </row>
    <row r="13" spans="1:6" ht="9.75" customHeight="1">
      <c r="A13" s="20"/>
      <c r="B13" s="20"/>
      <c r="C13" s="20"/>
      <c r="D13" s="20"/>
      <c r="E13" s="20"/>
      <c r="F13" s="20"/>
    </row>
    <row r="14" spans="1:6" ht="30.75" customHeight="1">
      <c r="A14" s="20"/>
      <c r="B14" s="27" t="s">
        <v>49</v>
      </c>
      <c r="C14" s="27">
        <f>_xlfn.IFERROR(ROUND(C10/C12,1),"")</f>
        <v>14</v>
      </c>
      <c r="D14" s="27">
        <f>_xlfn.IFERROR(ROUND(D10/D12,1),"")</f>
        <v>18.9</v>
      </c>
      <c r="E14" s="27">
        <f>_xlfn.IFERROR(ROUND(E10/E12,1),"")</f>
        <v>18.3</v>
      </c>
      <c r="F14" s="27">
        <f>_xlfn.IFERROR(ROUND(F10/F12,1),"")</f>
        <v>17.2</v>
      </c>
    </row>
    <row r="15" spans="1:6" ht="26.25" customHeight="1" hidden="1">
      <c r="A15" s="20"/>
      <c r="B15" s="20"/>
      <c r="C15" s="27">
        <f>_xlfn.RANK.EQ(C14,C14:F14)</f>
        <v>4</v>
      </c>
      <c r="D15" s="27">
        <f>_xlfn.RANK.EQ(D14,C14:F14)</f>
        <v>1</v>
      </c>
      <c r="E15" s="27">
        <f>_xlfn.RANK.EQ(E14,C14:F14)</f>
        <v>2</v>
      </c>
      <c r="F15" s="27">
        <f>_xlfn.RANK.EQ(F14,C14:F14)</f>
        <v>3</v>
      </c>
    </row>
    <row r="16" spans="1:6" ht="28.5" customHeight="1">
      <c r="A16" s="20"/>
      <c r="B16" s="20"/>
      <c r="C16" s="20"/>
      <c r="D16" s="20"/>
      <c r="E16" s="20"/>
      <c r="F16" s="20"/>
    </row>
    <row r="17" spans="1:6" ht="22.5" customHeight="1">
      <c r="A17" s="20"/>
      <c r="B17" s="27" t="s">
        <v>50</v>
      </c>
      <c r="C17" s="27">
        <f>_xlfn.IFERROR(_xlfn.RANK.EQ(C15,C15:F15),"")</f>
        <v>1</v>
      </c>
      <c r="D17" s="27">
        <f>_xlfn.IFERROR(_xlfn.RANK.EQ(D15,C15:F15),"")</f>
        <v>4</v>
      </c>
      <c r="E17" s="27">
        <f>_xlfn.IFERROR(_xlfn.RANK.EQ(E15,C15:F15),"")</f>
        <v>3</v>
      </c>
      <c r="F17" s="27">
        <f>_xlfn.IFERROR(_xlfn.RANK.EQ(F15,C15:F15),"")</f>
        <v>2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3">
    <mergeCell ref="C1:F1"/>
    <mergeCell ref="C3:F3"/>
    <mergeCell ref="D4:F4"/>
  </mergeCells>
  <printOptions/>
  <pageMargins left="0.37222222222222223" right="0.41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9"/>
  <sheetViews>
    <sheetView zoomScale="75" zoomScaleNormal="75" workbookViewId="0" topLeftCell="A1">
      <selection activeCell="O5" sqref="O5"/>
    </sheetView>
  </sheetViews>
  <sheetFormatPr defaultColWidth="9.140625" defaultRowHeight="12.75" customHeight="1"/>
  <cols>
    <col min="1" max="1" width="4.7109375" style="16" customWidth="1"/>
    <col min="2" max="2" width="33.7109375" style="16" customWidth="1"/>
    <col min="3" max="3" width="11.140625" style="16" customWidth="1"/>
    <col min="4" max="4" width="6.7109375" style="16" customWidth="1"/>
    <col min="5" max="5" width="11.421875" style="16" customWidth="1"/>
    <col min="6" max="6" width="6.57421875" style="16" customWidth="1"/>
    <col min="7" max="7" width="11.140625" style="16" customWidth="1"/>
    <col min="8" max="8" width="6.57421875" style="16" customWidth="1"/>
    <col min="9" max="9" width="11.57421875" style="16" customWidth="1"/>
    <col min="10" max="10" width="7.140625" style="16" customWidth="1"/>
    <col min="11" max="11" width="12.00390625" style="16" customWidth="1"/>
    <col min="12" max="12" width="8.8515625" style="16" hidden="1" customWidth="1"/>
    <col min="13" max="13" width="8.8515625" style="16" customWidth="1"/>
    <col min="14" max="16384" width="10.57421875" style="16" customWidth="1"/>
  </cols>
  <sheetData>
    <row r="1" spans="1:12" ht="30.75" customHeight="1">
      <c r="A1" s="18"/>
      <c r="B1" s="19">
        <f>Termin</f>
        <v>0</v>
      </c>
      <c r="C1" s="19"/>
      <c r="D1" s="19"/>
      <c r="E1" s="19"/>
      <c r="F1" s="19"/>
      <c r="G1" s="19"/>
      <c r="H1" s="19"/>
      <c r="I1" s="19"/>
      <c r="J1" s="19"/>
      <c r="K1" s="19"/>
      <c r="L1" s="4"/>
    </row>
    <row r="2" spans="1:12" ht="40.5" customHeight="1">
      <c r="A2" s="18"/>
      <c r="B2" s="32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68" s="23" customFormat="1" ht="18.75" customHeight="1">
      <c r="A3" s="18"/>
      <c r="B3" s="19" t="s">
        <v>56</v>
      </c>
      <c r="C3" s="19"/>
      <c r="D3" s="19"/>
      <c r="E3" s="19"/>
      <c r="F3" s="19"/>
      <c r="G3" s="19"/>
      <c r="H3" s="19"/>
      <c r="I3" s="19"/>
      <c r="J3" s="19"/>
      <c r="K3" s="19"/>
      <c r="L3" s="4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</row>
    <row r="4" spans="1:68" s="23" customFormat="1" ht="42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</row>
    <row r="5" spans="1:68" s="23" customFormat="1" ht="34.5" customHeight="1">
      <c r="A5" s="26" t="s">
        <v>45</v>
      </c>
      <c r="B5" s="27" t="s">
        <v>57</v>
      </c>
      <c r="C5" s="28" t="s">
        <v>58</v>
      </c>
      <c r="D5" s="28" t="s">
        <v>50</v>
      </c>
      <c r="E5" s="28" t="s">
        <v>59</v>
      </c>
      <c r="F5" s="28" t="s">
        <v>50</v>
      </c>
      <c r="G5" s="28" t="s">
        <v>60</v>
      </c>
      <c r="H5" s="28" t="s">
        <v>50</v>
      </c>
      <c r="I5" s="28" t="s">
        <v>61</v>
      </c>
      <c r="J5" s="28" t="s">
        <v>50</v>
      </c>
      <c r="K5" s="28" t="s">
        <v>62</v>
      </c>
      <c r="L5" s="33" t="s">
        <v>63</v>
      </c>
      <c r="M5" s="28" t="s">
        <v>50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</row>
    <row r="6" spans="1:68" s="23" customFormat="1" ht="41.25" customHeight="1">
      <c r="A6" s="27">
        <v>1</v>
      </c>
      <c r="B6" s="34">
        <f>Team1</f>
        <v>0</v>
      </c>
      <c r="C6" s="35">
        <f>WK1SchnittT1</f>
        <v>10.7</v>
      </c>
      <c r="D6" s="35">
        <f>WK1PlatzT1</f>
        <v>3</v>
      </c>
      <c r="E6" s="35">
        <f>WK2SchnittT1</f>
        <v>6.8</v>
      </c>
      <c r="F6" s="35">
        <f>WK2PlatzT1</f>
        <v>1</v>
      </c>
      <c r="G6" s="35">
        <f>WK3SchnittT1</f>
        <v>7.4</v>
      </c>
      <c r="H6" s="35">
        <f>WK3PlatzT1</f>
        <v>3</v>
      </c>
      <c r="I6" s="35">
        <f>WK4SchnittT1</f>
        <v>14</v>
      </c>
      <c r="J6" s="35">
        <f>WK4PlatzT1</f>
        <v>1</v>
      </c>
      <c r="K6" s="36">
        <f aca="true" t="shared" si="0" ref="K6:K9">SUM(D6,F6,H6,J6)</f>
        <v>8</v>
      </c>
      <c r="L6" s="35">
        <f>_xlfn.IFERROR(_xlfn.RANK.EQ(K6,K6:K9),"")</f>
        <v>3</v>
      </c>
      <c r="M6" s="35">
        <f>_xlfn.IFERROR(_xlfn.RANK.EQ(L6,L6:L9),"")</f>
        <v>2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</row>
    <row r="7" spans="1:68" s="23" customFormat="1" ht="41.25" customHeight="1">
      <c r="A7" s="27">
        <v>2</v>
      </c>
      <c r="B7" s="34">
        <f>Team2</f>
        <v>0</v>
      </c>
      <c r="C7" s="35">
        <f>WK1SchnittT2</f>
        <v>10.4</v>
      </c>
      <c r="D7" s="35">
        <f>WK1PlatzT2</f>
        <v>4</v>
      </c>
      <c r="E7" s="35">
        <f>WK2SchnittT2</f>
        <v>5.9</v>
      </c>
      <c r="F7" s="35">
        <f>WK2PlatzT2</f>
        <v>4</v>
      </c>
      <c r="G7" s="35">
        <f>WK3SchnittT2</f>
        <v>6.7</v>
      </c>
      <c r="H7" s="35">
        <f>WK3PlatzT2</f>
        <v>4</v>
      </c>
      <c r="I7" s="35">
        <f>WK4SchnittT2</f>
        <v>18.9</v>
      </c>
      <c r="J7" s="35">
        <f>WK4PlatzT2</f>
        <v>4</v>
      </c>
      <c r="K7" s="36">
        <f t="shared" si="0"/>
        <v>16</v>
      </c>
      <c r="L7" s="35">
        <f>_xlfn.IFERROR(_xlfn.RANK.EQ(K7,K6:K9),"")</f>
        <v>1</v>
      </c>
      <c r="M7" s="35">
        <f>_xlfn.IFERROR(_xlfn.RANK.EQ(L7,L6:L9),"")</f>
        <v>4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</row>
    <row r="8" spans="1:68" s="23" customFormat="1" ht="41.25" customHeight="1">
      <c r="A8" s="27">
        <v>3</v>
      </c>
      <c r="B8" s="34">
        <f>Team3</f>
        <v>0</v>
      </c>
      <c r="C8" s="35">
        <f>WK1SchnittT3</f>
        <v>12</v>
      </c>
      <c r="D8" s="35">
        <f>WK1PlatzT3</f>
        <v>2</v>
      </c>
      <c r="E8" s="35">
        <f>WK2SchnittT3</f>
        <v>6</v>
      </c>
      <c r="F8" s="35">
        <f>WK2PlatzT3</f>
        <v>3</v>
      </c>
      <c r="G8" s="35">
        <f>WK3SchnittT3</f>
        <v>8.2</v>
      </c>
      <c r="H8" s="35">
        <f>WK3PlatzT3</f>
        <v>1</v>
      </c>
      <c r="I8" s="35">
        <f>WK4SchnittT3</f>
        <v>18.3</v>
      </c>
      <c r="J8" s="35">
        <f>WK4PlatzT3</f>
        <v>3</v>
      </c>
      <c r="K8" s="36">
        <f t="shared" si="0"/>
        <v>9</v>
      </c>
      <c r="L8" s="35">
        <f>_xlfn.IFERROR(_xlfn.RANK.EQ(K8,K6:K9),"")</f>
        <v>2</v>
      </c>
      <c r="M8" s="35">
        <f>_xlfn.IFERROR(_xlfn.RANK.EQ(L8,L6:L9),"")</f>
        <v>3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</row>
    <row r="9" spans="1:68" s="23" customFormat="1" ht="41.25" customHeight="1">
      <c r="A9" s="27">
        <v>4</v>
      </c>
      <c r="B9" s="34">
        <f>Team4</f>
        <v>0</v>
      </c>
      <c r="C9" s="35">
        <f>WK1SchnittT4</f>
        <v>12.2</v>
      </c>
      <c r="D9" s="35">
        <f>WK1PlatzT4</f>
        <v>1</v>
      </c>
      <c r="E9" s="35">
        <f>WK2SchnittT4</f>
        <v>6.3</v>
      </c>
      <c r="F9" s="35">
        <f>WK2PlatzT4</f>
        <v>2</v>
      </c>
      <c r="G9" s="35">
        <f>WK3SchnittT4</f>
        <v>7.9</v>
      </c>
      <c r="H9" s="35">
        <f>WK3PlatzT4</f>
        <v>2</v>
      </c>
      <c r="I9" s="35">
        <f>WK4SchnittT4</f>
        <v>17.2</v>
      </c>
      <c r="J9" s="35">
        <f>WK4PlatzT4</f>
        <v>2</v>
      </c>
      <c r="K9" s="36">
        <f t="shared" si="0"/>
        <v>7</v>
      </c>
      <c r="L9" s="35">
        <f>_xlfn.IFERROR(_xlfn.RANK.EQ(K9,K6:K9),"")</f>
        <v>4</v>
      </c>
      <c r="M9" s="35">
        <f>_xlfn.IFERROR(_xlfn.RANK.EQ(L9,L6:L9),"")</f>
        <v>1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</row>
    <row r="22" ht="40.5" customHeight="1"/>
    <row r="23" ht="64.5" customHeight="1"/>
    <row r="28" ht="22.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2">
    <mergeCell ref="B1:K1"/>
    <mergeCell ref="B3:K3"/>
  </mergeCells>
  <printOptions/>
  <pageMargins left="0.5902777777777778" right="0.5902777777777778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="75" zoomScaleNormal="75" workbookViewId="0" topLeftCell="A1">
      <selection activeCell="F5" sqref="F5"/>
    </sheetView>
  </sheetViews>
  <sheetFormatPr defaultColWidth="9.140625" defaultRowHeight="14.25" customHeight="1"/>
  <cols>
    <col min="1" max="1" width="10.421875" style="0" customWidth="1"/>
    <col min="2" max="2" width="10.421875" style="37" customWidth="1"/>
    <col min="3" max="3" width="30.421875" style="0" customWidth="1"/>
    <col min="4" max="4" width="2.421875" style="0" customWidth="1"/>
    <col min="5" max="5" width="34.421875" style="0" customWidth="1"/>
    <col min="6" max="6" width="5.421875" style="0" customWidth="1"/>
    <col min="7" max="7" width="1.7109375" style="0" customWidth="1"/>
    <col min="8" max="8" width="5.421875" style="0" customWidth="1"/>
    <col min="9" max="16384" width="10.8515625" style="0" customWidth="1"/>
  </cols>
  <sheetData>
    <row r="1" spans="1:8" ht="29.25" customHeight="1">
      <c r="A1" s="8"/>
      <c r="B1" s="38">
        <f>Termin</f>
        <v>0</v>
      </c>
      <c r="C1" s="38"/>
      <c r="D1" s="38"/>
      <c r="E1" s="38"/>
      <c r="F1" s="38"/>
      <c r="G1" s="38"/>
      <c r="H1" s="38"/>
    </row>
    <row r="2" spans="1:8" ht="12.75" customHeight="1">
      <c r="A2" s="8"/>
      <c r="B2" s="39"/>
      <c r="C2" s="39"/>
      <c r="D2" s="39"/>
      <c r="E2" s="39"/>
      <c r="F2" s="39"/>
      <c r="G2" s="39"/>
      <c r="H2" s="39"/>
    </row>
    <row r="3" spans="1:8" ht="40.5" customHeight="1">
      <c r="A3" s="8"/>
      <c r="B3" s="40" t="s">
        <v>64</v>
      </c>
      <c r="C3" s="40"/>
      <c r="D3" s="40"/>
      <c r="E3" s="40"/>
      <c r="F3" s="40"/>
      <c r="G3" s="40"/>
      <c r="H3" s="40"/>
    </row>
    <row r="4" spans="1:8" ht="6" customHeight="1">
      <c r="A4" s="8"/>
      <c r="B4" s="41"/>
      <c r="C4" s="8"/>
      <c r="D4" s="8"/>
      <c r="E4" s="8"/>
      <c r="F4" s="8"/>
      <c r="G4" s="8"/>
      <c r="H4" s="8"/>
    </row>
    <row r="5" spans="1:8" ht="29.25" customHeight="1">
      <c r="A5" s="8"/>
      <c r="B5" s="42" t="s">
        <v>65</v>
      </c>
      <c r="C5" s="43">
        <f>Team1</f>
        <v>0</v>
      </c>
      <c r="D5" s="44"/>
      <c r="E5" s="45">
        <f>Team2</f>
        <v>0</v>
      </c>
      <c r="F5" s="46">
        <v>4</v>
      </c>
      <c r="G5" s="47" t="s">
        <v>66</v>
      </c>
      <c r="H5" s="46">
        <v>8</v>
      </c>
    </row>
    <row r="6" spans="1:8" ht="21.75" customHeight="1">
      <c r="A6" s="8"/>
      <c r="B6" s="42" t="s">
        <v>67</v>
      </c>
      <c r="C6" s="43">
        <f>Team3</f>
        <v>0</v>
      </c>
      <c r="D6" s="44"/>
      <c r="E6" s="45">
        <f>Team4</f>
        <v>0</v>
      </c>
      <c r="F6" s="46">
        <v>5</v>
      </c>
      <c r="G6" s="47" t="s">
        <v>66</v>
      </c>
      <c r="H6" s="46">
        <v>1</v>
      </c>
    </row>
    <row r="7" spans="1:8" ht="30" customHeight="1">
      <c r="A7" s="8"/>
      <c r="B7" s="48"/>
      <c r="C7" s="49" t="s">
        <v>68</v>
      </c>
      <c r="D7" s="49"/>
      <c r="E7" s="49"/>
      <c r="F7" s="50"/>
      <c r="G7" s="51"/>
      <c r="H7" s="50"/>
    </row>
    <row r="8" spans="1:8" ht="21.75" customHeight="1">
      <c r="A8" s="8"/>
      <c r="B8" s="42" t="s">
        <v>65</v>
      </c>
      <c r="C8" s="43">
        <f>Team2</f>
        <v>0</v>
      </c>
      <c r="D8" s="44"/>
      <c r="E8" s="45">
        <f>Team3</f>
        <v>0</v>
      </c>
      <c r="F8" s="46">
        <v>7</v>
      </c>
      <c r="G8" s="47" t="s">
        <v>66</v>
      </c>
      <c r="H8" s="46">
        <v>7</v>
      </c>
    </row>
    <row r="9" spans="1:8" ht="21.75" customHeight="1">
      <c r="A9" s="8"/>
      <c r="B9" s="42" t="s">
        <v>67</v>
      </c>
      <c r="C9" s="43">
        <f>Team4</f>
        <v>0</v>
      </c>
      <c r="D9" s="44"/>
      <c r="E9" s="45">
        <f>Team1</f>
        <v>0</v>
      </c>
      <c r="F9" s="46">
        <v>7</v>
      </c>
      <c r="G9" s="47" t="s">
        <v>66</v>
      </c>
      <c r="H9" s="46">
        <v>4</v>
      </c>
    </row>
    <row r="10" spans="1:8" ht="30" customHeight="1">
      <c r="A10" s="8"/>
      <c r="B10" s="48"/>
      <c r="C10" s="49" t="s">
        <v>68</v>
      </c>
      <c r="D10" s="49"/>
      <c r="E10" s="49"/>
      <c r="F10" s="50"/>
      <c r="G10" s="51"/>
      <c r="H10" s="50"/>
    </row>
    <row r="11" spans="1:8" ht="21.75" customHeight="1">
      <c r="A11" s="8"/>
      <c r="B11" s="42" t="s">
        <v>65</v>
      </c>
      <c r="C11" s="43">
        <f>Team4</f>
        <v>0</v>
      </c>
      <c r="D11" s="44"/>
      <c r="E11" s="45">
        <f>Team2</f>
        <v>0</v>
      </c>
      <c r="F11" s="46">
        <v>4</v>
      </c>
      <c r="G11" s="47" t="s">
        <v>66</v>
      </c>
      <c r="H11" s="46">
        <v>7</v>
      </c>
    </row>
    <row r="12" spans="1:8" ht="21.75" customHeight="1">
      <c r="A12" s="8"/>
      <c r="B12" s="42" t="s">
        <v>67</v>
      </c>
      <c r="C12" s="43">
        <f>Team1</f>
        <v>0</v>
      </c>
      <c r="D12" s="52"/>
      <c r="E12" s="45">
        <f>Team3</f>
        <v>0</v>
      </c>
      <c r="F12" s="46">
        <v>0</v>
      </c>
      <c r="G12" s="47" t="s">
        <v>66</v>
      </c>
      <c r="H12" s="46">
        <v>7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4">
    <mergeCell ref="B1:H1"/>
    <mergeCell ref="B3:H3"/>
    <mergeCell ref="C7:E7"/>
    <mergeCell ref="C10:E10"/>
  </mergeCells>
  <printOptions/>
  <pageMargins left="0.7479166666666667" right="0.35" top="0.49027777777777776" bottom="0.50972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8"/>
  <sheetViews>
    <sheetView zoomScale="75" zoomScaleNormal="75" workbookViewId="0" topLeftCell="A1">
      <selection activeCell="B1" sqref="B1"/>
    </sheetView>
  </sheetViews>
  <sheetFormatPr defaultColWidth="9.140625" defaultRowHeight="12.75" customHeight="1" outlineLevelRow="1" outlineLevelCol="1"/>
  <cols>
    <col min="1" max="1" width="3.57421875" style="0" customWidth="1"/>
    <col min="2" max="2" width="28.57421875" style="0" customWidth="1"/>
    <col min="3" max="3" width="4.421875" style="0" customWidth="1"/>
    <col min="4" max="4" width="1.57421875" style="0" customWidth="1"/>
    <col min="5" max="6" width="4.421875" style="0" customWidth="1"/>
    <col min="7" max="7" width="1.57421875" style="0" customWidth="1"/>
    <col min="8" max="9" width="4.421875" style="0" customWidth="1"/>
    <col min="10" max="10" width="1.57421875" style="0" customWidth="1"/>
    <col min="11" max="12" width="4.421875" style="0" customWidth="1"/>
    <col min="13" max="13" width="1.57421875" style="0" customWidth="1"/>
    <col min="14" max="14" width="4.421875" style="0" customWidth="1"/>
    <col min="15" max="15" width="2.57421875" style="0" customWidth="1"/>
    <col min="16" max="16" width="4.8515625" style="53" customWidth="1"/>
    <col min="17" max="17" width="1.421875" style="53" customWidth="1"/>
    <col min="18" max="19" width="4.8515625" style="53" customWidth="1"/>
    <col min="20" max="20" width="1.421875" style="53" customWidth="1"/>
    <col min="21" max="21" width="4.8515625" style="53" customWidth="1"/>
    <col min="22" max="22" width="6.421875" style="54" customWidth="1"/>
    <col min="23" max="23" width="7.57421875" style="0" hidden="1" customWidth="1" outlineLevel="1"/>
    <col min="24" max="24" width="2.7109375" style="0" hidden="1" customWidth="1" outlineLevel="1"/>
    <col min="25" max="25" width="11.140625" style="0" hidden="1" customWidth="1" outlineLevel="1"/>
    <col min="26" max="26" width="2.57421875" style="0" hidden="1" customWidth="1" outlineLevel="1"/>
    <col min="27" max="27" width="7.57421875" style="0" hidden="1" customWidth="1" outlineLevel="1"/>
    <col min="28" max="28" width="2.57421875" style="0" hidden="1" customWidth="1" outlineLevel="1"/>
    <col min="29" max="29" width="7.57421875" style="0" hidden="1" customWidth="1" outlineLevel="1"/>
    <col min="30" max="30" width="11.140625" style="0" customWidth="1"/>
    <col min="31" max="16384" width="10.8515625" style="0" customWidth="1"/>
  </cols>
  <sheetData>
    <row r="1" spans="1:22" ht="22.5" customHeight="1">
      <c r="A1" s="55"/>
      <c r="B1" s="56">
        <f>Termin</f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1" ht="7.5" customHeight="1">
      <c r="A2" s="55"/>
      <c r="B2" s="57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2" ht="39" customHeight="1">
      <c r="A3" s="58" t="s">
        <v>69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</row>
    <row r="4" spans="1:29" ht="153" customHeight="1">
      <c r="A4" s="60"/>
      <c r="B4" s="61"/>
      <c r="C4" s="62">
        <f>Team1</f>
        <v>0</v>
      </c>
      <c r="D4" s="62"/>
      <c r="E4" s="62"/>
      <c r="F4" s="62">
        <f>Team2</f>
        <v>0</v>
      </c>
      <c r="G4" s="62"/>
      <c r="H4" s="62"/>
      <c r="I4" s="62">
        <f>Team3</f>
        <v>0</v>
      </c>
      <c r="J4" s="62"/>
      <c r="K4" s="62"/>
      <c r="L4" s="63">
        <f>Team4</f>
        <v>0</v>
      </c>
      <c r="M4" s="63"/>
      <c r="N4" s="63"/>
      <c r="O4" s="8"/>
      <c r="P4" s="64" t="s">
        <v>70</v>
      </c>
      <c r="Q4" s="64"/>
      <c r="R4" s="64"/>
      <c r="S4" s="64" t="s">
        <v>71</v>
      </c>
      <c r="T4" s="64"/>
      <c r="U4" s="64"/>
      <c r="V4" s="65" t="s">
        <v>72</v>
      </c>
      <c r="W4" s="66" t="s">
        <v>73</v>
      </c>
      <c r="X4" s="66" t="s">
        <v>74</v>
      </c>
      <c r="Y4" s="66" t="s">
        <v>75</v>
      </c>
      <c r="Z4" s="66" t="s">
        <v>76</v>
      </c>
      <c r="AA4" s="66" t="s">
        <v>77</v>
      </c>
      <c r="AB4" s="66" t="s">
        <v>78</v>
      </c>
      <c r="AC4" s="66" t="s">
        <v>71</v>
      </c>
    </row>
    <row r="5" spans="1:29" ht="30" customHeight="1">
      <c r="A5" s="67">
        <f>IF(SUM(Plus1)=0,"",RANK($AC5,$AC$5:$AC$8))</f>
        <v>4</v>
      </c>
      <c r="B5" s="68">
        <f>Team1</f>
        <v>0</v>
      </c>
      <c r="C5" s="69"/>
      <c r="D5" s="69"/>
      <c r="E5" s="69"/>
      <c r="F5" s="70">
        <f>IF(Spiel12+Spiel21=0,"",Spiel12)</f>
        <v>4</v>
      </c>
      <c r="G5" s="70" t="s">
        <v>66</v>
      </c>
      <c r="H5" s="71">
        <f>IF(Spiel12+Spiel21=0,"",Spiel21)</f>
        <v>8</v>
      </c>
      <c r="I5" s="70">
        <f>IF(Spiel13+Spiel31=0,"",Spiel13)</f>
        <v>0</v>
      </c>
      <c r="J5" s="70" t="s">
        <v>66</v>
      </c>
      <c r="K5" s="70">
        <f>IF(Spiel13+Spiel31=0,"",Spiel31)</f>
        <v>7</v>
      </c>
      <c r="L5" s="72">
        <f>IF(Spiel14+Spiel41=0,"",Spiel14)</f>
        <v>4</v>
      </c>
      <c r="M5" s="70" t="s">
        <v>66</v>
      </c>
      <c r="N5" s="71">
        <f>IF(Spiel14+Spiel41=0,"",Spiel41)</f>
        <v>7</v>
      </c>
      <c r="O5" s="8"/>
      <c r="P5" s="73">
        <f>IF(SUM(Plus1)+SUM(Minus1)=0,"",SUM(PlusP1))</f>
        <v>0</v>
      </c>
      <c r="Q5" s="74" t="s">
        <v>66</v>
      </c>
      <c r="R5" s="73">
        <f>IF(SUM(Plus1)+SUM(Minus1)=0,"",SUM(MinusP1))</f>
        <v>6</v>
      </c>
      <c r="S5" s="75">
        <f>IF(SUM(Plus1)=0,"",SUM(Plus1))</f>
        <v>8</v>
      </c>
      <c r="T5" s="74" t="s">
        <v>66</v>
      </c>
      <c r="U5" s="75">
        <f>IF(SUM(Minus1)=0,"",SUM(Minus1))</f>
        <v>22</v>
      </c>
      <c r="V5" s="76">
        <f>IF(SUM(Plus1)=0,"",SUM(S5-U5))</f>
        <v>-14</v>
      </c>
      <c r="W5">
        <f aca="true" t="shared" si="0" ref="W5:W8">RANK(P5,$P$5:$P$8,4)*100</f>
        <v>100</v>
      </c>
      <c r="X5">
        <f aca="true" t="shared" si="1" ref="X5:X8">IF(COUNTIF(W$5:W$8,W5)&gt;1,1,0)</f>
        <v>0</v>
      </c>
      <c r="Y5" s="77">
        <f>IF(X5=0,W5,IF(W5=W7,I9+W5)+IF(W5=W6,W5+F9)+IF(W5=W8,W5+L9))</f>
        <v>100</v>
      </c>
      <c r="Z5">
        <f aca="true" t="shared" si="2" ref="Z5:Z8">IF(COUNTIF(Y$5:Y$8,Y5)&gt;1,1,0)</f>
        <v>0</v>
      </c>
      <c r="AA5">
        <f aca="true" t="shared" si="3" ref="AA5:AA8">IF(Z5=0,Y5,V5+Y5)</f>
        <v>100</v>
      </c>
      <c r="AB5">
        <f aca="true" t="shared" si="4" ref="AB5:AB8">IF(COUNTIF(AA$5:AA$8,AA5)&gt;1,1,0)</f>
        <v>0</v>
      </c>
      <c r="AC5">
        <f aca="true" t="shared" si="5" ref="AC5:AC8">IF(AB5=0,AA5,RANK(S5,$S$5:$S$8,4)+AA5)</f>
        <v>100</v>
      </c>
    </row>
    <row r="6" spans="1:29" ht="30" customHeight="1">
      <c r="A6" s="67">
        <f>IF(SUM(Plus2)=0,"",RANK($AC6,$AC$5:$AC$8))</f>
        <v>2</v>
      </c>
      <c r="B6" s="68">
        <f>Team2</f>
        <v>0</v>
      </c>
      <c r="C6" s="78">
        <f>H5</f>
        <v>8</v>
      </c>
      <c r="D6" s="70" t="s">
        <v>66</v>
      </c>
      <c r="E6" s="79">
        <f>F5</f>
        <v>4</v>
      </c>
      <c r="F6" s="69"/>
      <c r="G6" s="69"/>
      <c r="H6" s="69"/>
      <c r="I6" s="72">
        <f>IF(Spiel23+Spiel32=0,"",Spiel23)</f>
        <v>7</v>
      </c>
      <c r="J6" s="70" t="s">
        <v>66</v>
      </c>
      <c r="K6" s="71">
        <f>IF(Spiel23+Spiel32=0,"",Spiel32)</f>
        <v>7</v>
      </c>
      <c r="L6" s="78">
        <f>IF(Spiel24+Spiel42=0,"",Spiel24)</f>
        <v>7</v>
      </c>
      <c r="M6" s="80" t="s">
        <v>66</v>
      </c>
      <c r="N6" s="79">
        <f>IF(Spiel24+Spiel42=0,"",Spiel42)</f>
        <v>4</v>
      </c>
      <c r="O6" s="8"/>
      <c r="P6" s="73">
        <f>IF(SUM(Plus2)+SUM(Minus2)=0,"",SUM(PlusP2))</f>
        <v>5</v>
      </c>
      <c r="Q6" s="74" t="s">
        <v>66</v>
      </c>
      <c r="R6" s="73">
        <f>IF(SUM(Plus2)+SUM(Minus2)=0,"",SUM(MinusP2))</f>
        <v>1</v>
      </c>
      <c r="S6" s="75">
        <f>IF(SUM(Plus2)=0,"",SUM(Plus2))</f>
        <v>22</v>
      </c>
      <c r="T6" s="74" t="s">
        <v>66</v>
      </c>
      <c r="U6" s="75">
        <f>IF(SUM(Minus2)=0,"",SUM(Minus2))</f>
        <v>15</v>
      </c>
      <c r="V6" s="76">
        <f>IF(SUM(Plus2)=0,"",SUM(S6-U6))</f>
        <v>7</v>
      </c>
      <c r="W6">
        <f t="shared" si="0"/>
        <v>300</v>
      </c>
      <c r="X6">
        <f t="shared" si="1"/>
        <v>1</v>
      </c>
      <c r="Y6" s="77">
        <f>IF(X6=0,W6,IF(W6=W5,C10+W6)+IF(W6=W7,W6+I10)+IF(W6=W8,W6+L10))</f>
        <v>301</v>
      </c>
      <c r="Z6">
        <f t="shared" si="2"/>
        <v>1</v>
      </c>
      <c r="AA6">
        <f t="shared" si="3"/>
        <v>308</v>
      </c>
      <c r="AB6">
        <f t="shared" si="4"/>
        <v>0</v>
      </c>
      <c r="AC6">
        <f t="shared" si="5"/>
        <v>308</v>
      </c>
    </row>
    <row r="7" spans="1:29" ht="30" customHeight="1">
      <c r="A7" s="67">
        <f>IF(SUM(Plus3)=0,"",RANK($AC7,$AC$5:$AC$8))</f>
        <v>1</v>
      </c>
      <c r="B7" s="68">
        <f>Team3</f>
        <v>0</v>
      </c>
      <c r="C7" s="72">
        <f>K5</f>
        <v>7</v>
      </c>
      <c r="D7" s="70" t="s">
        <v>66</v>
      </c>
      <c r="E7" s="71">
        <f>I5</f>
        <v>0</v>
      </c>
      <c r="F7" s="72">
        <f>K6</f>
        <v>7</v>
      </c>
      <c r="G7" s="70" t="s">
        <v>66</v>
      </c>
      <c r="H7" s="71">
        <f>I6</f>
        <v>7</v>
      </c>
      <c r="I7" s="69"/>
      <c r="J7" s="69"/>
      <c r="K7" s="69"/>
      <c r="L7" s="72">
        <f>IF(Spiel34+Spiel43=0,"",Spiel34)</f>
        <v>5</v>
      </c>
      <c r="M7" s="70" t="s">
        <v>66</v>
      </c>
      <c r="N7" s="71">
        <f>IF(Spiel34+Spiel43=0,"",Spiel43)</f>
        <v>1</v>
      </c>
      <c r="O7" s="8"/>
      <c r="P7" s="73">
        <f>IF(SUM(Plus3)+SUM(Minus3)=0,"",SUM(PlusP3))</f>
        <v>5</v>
      </c>
      <c r="Q7" s="74" t="s">
        <v>66</v>
      </c>
      <c r="R7" s="73">
        <f>IF(SUM(Plus3)+SUM(Minus3)=0,"",SUM(MinusP3))</f>
        <v>1</v>
      </c>
      <c r="S7" s="75">
        <f>IF(SUM(Plus3)=0,"",SUM(Plus3))</f>
        <v>19</v>
      </c>
      <c r="T7" s="74" t="s">
        <v>66</v>
      </c>
      <c r="U7" s="75">
        <f>IF(SUM(Minus3)=0,"",SUM(Minus3))</f>
        <v>8</v>
      </c>
      <c r="V7" s="76">
        <f>IF(SUM(Plus3)=0,"",SUM(S7-U7))</f>
        <v>11</v>
      </c>
      <c r="W7">
        <f t="shared" si="0"/>
        <v>300</v>
      </c>
      <c r="X7">
        <f t="shared" si="1"/>
        <v>1</v>
      </c>
      <c r="Y7" s="77">
        <f>IF(X7=0,W7,IF(W5=W7,C11+W7)+IF(W7=W6,W7+F11)+IF(W7=W8,W7+L11))</f>
        <v>301</v>
      </c>
      <c r="Z7">
        <f t="shared" si="2"/>
        <v>1</v>
      </c>
      <c r="AA7">
        <f t="shared" si="3"/>
        <v>312</v>
      </c>
      <c r="AB7">
        <f t="shared" si="4"/>
        <v>0</v>
      </c>
      <c r="AC7">
        <f t="shared" si="5"/>
        <v>312</v>
      </c>
    </row>
    <row r="8" spans="1:29" ht="30" customHeight="1">
      <c r="A8" s="67">
        <f>IF(SUM(Plus4)=0,"",RANK($AC8,$AC$5:$AC$8))</f>
        <v>3</v>
      </c>
      <c r="B8" s="68">
        <f>Team4</f>
        <v>0</v>
      </c>
      <c r="C8" s="72">
        <f>N5</f>
        <v>7</v>
      </c>
      <c r="D8" s="70" t="s">
        <v>66</v>
      </c>
      <c r="E8" s="71">
        <f>L5</f>
        <v>4</v>
      </c>
      <c r="F8" s="72">
        <f>N6</f>
        <v>4</v>
      </c>
      <c r="G8" s="70" t="s">
        <v>66</v>
      </c>
      <c r="H8" s="71">
        <f>L6</f>
        <v>7</v>
      </c>
      <c r="I8" s="72">
        <f>N7</f>
        <v>1</v>
      </c>
      <c r="J8" s="70" t="s">
        <v>66</v>
      </c>
      <c r="K8" s="71">
        <f>L7</f>
        <v>5</v>
      </c>
      <c r="L8" s="81"/>
      <c r="M8" s="81"/>
      <c r="N8" s="81"/>
      <c r="O8" s="8"/>
      <c r="P8" s="73">
        <f>IF(SUM(Plus4)+SUM(Minus4)=0,"",SUM(PlusP4))</f>
        <v>2</v>
      </c>
      <c r="Q8" s="74" t="s">
        <v>66</v>
      </c>
      <c r="R8" s="73">
        <f>IF(SUM(Plus4)+SUM(Minus4)=0,"",SUM(MinusP4))</f>
        <v>4</v>
      </c>
      <c r="S8" s="75">
        <f>IF(SUM(Plus4)=0,"",SUM(Plus4))</f>
        <v>12</v>
      </c>
      <c r="T8" s="74" t="s">
        <v>66</v>
      </c>
      <c r="U8" s="75">
        <f>IF(SUM(Minus4)=0,"",SUM(Minus4))</f>
        <v>16</v>
      </c>
      <c r="V8" s="76">
        <f>IF(SUM(Plus4)=0,"",SUM(S8-U8))</f>
        <v>-4</v>
      </c>
      <c r="W8">
        <f t="shared" si="0"/>
        <v>200</v>
      </c>
      <c r="X8">
        <f t="shared" si="1"/>
        <v>0</v>
      </c>
      <c r="Y8" s="77">
        <f>IF(X8=0,W8,IF(W8=W5,C12+W8)+IF(W8=W6,W8+F12)+IF(W8=W7,W8+I12))</f>
        <v>200</v>
      </c>
      <c r="Z8">
        <f t="shared" si="2"/>
        <v>0</v>
      </c>
      <c r="AA8">
        <f t="shared" si="3"/>
        <v>200</v>
      </c>
      <c r="AB8">
        <f t="shared" si="4"/>
        <v>0</v>
      </c>
      <c r="AC8">
        <f t="shared" si="5"/>
        <v>200</v>
      </c>
    </row>
    <row r="9" spans="1:22" ht="30" customHeight="1" hidden="1" outlineLevel="1">
      <c r="A9" s="82"/>
      <c r="B9" s="83" t="s">
        <v>70</v>
      </c>
      <c r="C9" s="69"/>
      <c r="D9" s="69"/>
      <c r="E9" s="69"/>
      <c r="F9" s="70">
        <f>IF(Spiel12+Spiel21=0,"",IF(Spiel12&gt;Spiel21,2,IF(Spiel12=Spiel21,1,0)))</f>
        <v>0</v>
      </c>
      <c r="G9" s="70"/>
      <c r="H9" s="71">
        <f>IF(Spiel12+Spiel21=0,"",IF(Spiel12&lt;Spiel21,2,IF(Spiel12=Spiel21,1,0)))</f>
        <v>2</v>
      </c>
      <c r="I9" s="72">
        <f>IF(Spiel13+Spiel31=0,"",IF(Spiel13&gt;Spiel31,2,IF(Spiel13=Spiel31,1,0)))</f>
        <v>0</v>
      </c>
      <c r="J9" s="70"/>
      <c r="K9" s="71">
        <f>IF(Spiel13+Spiel31=0,"",IF(Spiel13&lt;Spiel31,2,IF(Spiel13=Spiel31,1,0)))</f>
        <v>2</v>
      </c>
      <c r="L9" s="72">
        <f>IF(Spiel14+Spiel41=0,"",IF(Spiel14&gt;Spiel41,2,IF(Spiel14=Spiel41,1,0)))</f>
        <v>0</v>
      </c>
      <c r="M9" s="70"/>
      <c r="N9" s="71">
        <f>IF(Spiel14+Spiel41=0,"",IF(Spiel14&lt;Spiel41,2,IF(Spiel14=Spiel41,1,0)))</f>
        <v>2</v>
      </c>
      <c r="O9" s="8"/>
      <c r="P9" s="84"/>
      <c r="Q9" s="82"/>
      <c r="R9" s="84"/>
      <c r="S9" s="85"/>
      <c r="T9" s="82"/>
      <c r="U9" s="85"/>
      <c r="V9" s="86"/>
    </row>
    <row r="10" spans="1:22" ht="30" customHeight="1" hidden="1" outlineLevel="1">
      <c r="A10" s="82"/>
      <c r="B10" s="83"/>
      <c r="C10" s="78">
        <f>$H$9</f>
        <v>2</v>
      </c>
      <c r="D10" s="70" t="s">
        <v>66</v>
      </c>
      <c r="E10" s="79">
        <f>$F$9</f>
        <v>0</v>
      </c>
      <c r="F10" s="69"/>
      <c r="G10" s="69"/>
      <c r="H10" s="69"/>
      <c r="I10" s="72">
        <f>IF(Spiel23+Spiel32=0,"",IF(Spiel23&gt;Spiel32,2,IF(Spiel23=Spiel32,1,0)))</f>
        <v>1</v>
      </c>
      <c r="J10" s="70"/>
      <c r="K10" s="71">
        <f>IF(Spiel23+Spiel32=0,"",IF(Spiel23&lt;Spiel32,2,IF(Spiel23=Spiel32,1,0)))</f>
        <v>1</v>
      </c>
      <c r="L10" s="72">
        <f>IF(Spiel24+Spiel42=0,"",IF(Spiel24&gt;Spiel42,2,IF(Spiel24=Spiel42,1,0)))</f>
        <v>2</v>
      </c>
      <c r="M10" s="70"/>
      <c r="N10" s="71">
        <f>IF(Spiel24+Spiel42=0,"",IF(Spiel24&lt;Spiel42,2,IF(Spiel24=Spiel42,1,0)))</f>
        <v>0</v>
      </c>
      <c r="O10" s="87"/>
      <c r="P10" s="84"/>
      <c r="Q10" s="82"/>
      <c r="R10" s="84"/>
      <c r="S10" s="85"/>
      <c r="T10" s="82"/>
      <c r="U10" s="85"/>
      <c r="V10" s="86"/>
    </row>
    <row r="11" spans="1:22" ht="30" customHeight="1" hidden="1" outlineLevel="1">
      <c r="A11" s="82"/>
      <c r="B11" s="87"/>
      <c r="C11" s="72">
        <f>$K$9</f>
        <v>2</v>
      </c>
      <c r="D11" s="70" t="s">
        <v>66</v>
      </c>
      <c r="E11" s="71">
        <f>$N$10</f>
        <v>0</v>
      </c>
      <c r="F11" s="72">
        <f>$K$10</f>
        <v>1</v>
      </c>
      <c r="G11" s="70"/>
      <c r="H11" s="71">
        <f>$I$10</f>
        <v>1</v>
      </c>
      <c r="I11" s="69"/>
      <c r="J11" s="69"/>
      <c r="K11" s="69"/>
      <c r="L11" s="72">
        <f>IF(Spiel34+Spiel43=0,"",IF(Spiel34&gt;Spiel43,2,IF(Spiel34=Spiel43,1,0)))</f>
        <v>2</v>
      </c>
      <c r="M11" s="70"/>
      <c r="N11" s="71">
        <f>IF(Spiel34+Spiel43=0,"",IF(Spiel34&lt;Spiel43,2,IF(Spiel34=Spiel43,1,0)))</f>
        <v>0</v>
      </c>
      <c r="O11" s="87"/>
      <c r="P11" s="84"/>
      <c r="Q11" s="82"/>
      <c r="R11" s="84"/>
      <c r="S11" s="85"/>
      <c r="T11" s="82"/>
      <c r="U11" s="85"/>
      <c r="V11" s="86"/>
    </row>
    <row r="12" spans="1:22" ht="30" customHeight="1" hidden="1" outlineLevel="1">
      <c r="A12" s="10"/>
      <c r="B12" s="83"/>
      <c r="C12" s="72">
        <f>$N$9</f>
        <v>2</v>
      </c>
      <c r="D12" s="70" t="s">
        <v>66</v>
      </c>
      <c r="E12" s="71">
        <f>$L$9</f>
        <v>0</v>
      </c>
      <c r="F12" s="72">
        <f>$N$10</f>
        <v>0</v>
      </c>
      <c r="G12" s="70"/>
      <c r="H12" s="71">
        <f>$L$10</f>
        <v>2</v>
      </c>
      <c r="I12" s="72">
        <f>$N$11</f>
        <v>0</v>
      </c>
      <c r="J12" s="70"/>
      <c r="K12" s="71">
        <f>$L$11</f>
        <v>2</v>
      </c>
      <c r="L12" s="69"/>
      <c r="M12" s="69"/>
      <c r="N12" s="69"/>
      <c r="O12" s="8"/>
      <c r="P12" s="88"/>
      <c r="Q12" s="88"/>
      <c r="R12" s="88"/>
      <c r="S12" s="85"/>
      <c r="T12" s="88"/>
      <c r="U12" s="88"/>
      <c r="V12" s="59"/>
    </row>
    <row r="13" spans="1:22" ht="15" customHeight="1">
      <c r="A13" s="8"/>
      <c r="B13" s="8"/>
      <c r="C13" s="84"/>
      <c r="D13" s="89"/>
      <c r="E13" s="84"/>
      <c r="F13" s="84"/>
      <c r="G13" s="89"/>
      <c r="H13" s="84"/>
      <c r="I13" s="84"/>
      <c r="J13" s="89"/>
      <c r="K13" s="84"/>
      <c r="L13" s="84">
        <f>IF(L12+N12=0," ",IF(L12&gt;N12,2,IF(L12=N12,1,0)))</f>
        <v>0</v>
      </c>
      <c r="M13" s="89"/>
      <c r="N13" s="84">
        <f>IF(N12+L12=0,"",IF(N12&gt;L12,2,IF(N12=L12,1,0)))</f>
        <v>0</v>
      </c>
      <c r="O13" s="8"/>
      <c r="P13" s="88"/>
      <c r="Q13" s="88"/>
      <c r="R13" s="88"/>
      <c r="S13" s="88"/>
      <c r="T13" s="88"/>
      <c r="U13" s="88"/>
      <c r="V13" s="59"/>
    </row>
    <row r="14" spans="1:22" ht="24" customHeight="1">
      <c r="A14" s="8"/>
      <c r="B14" s="40" t="s">
        <v>79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88"/>
      <c r="T14" s="88"/>
      <c r="U14" s="88"/>
      <c r="V14" s="59"/>
    </row>
    <row r="15" spans="1:22" ht="28.5" customHeight="1">
      <c r="A15" s="90" t="s">
        <v>80</v>
      </c>
      <c r="B15" s="91">
        <f>IF($A$5=1,$B$5,IF($A$6=1,$B$6,IF($A$7=1,$B$7,IF($A$8=1,$B$8,""))))</f>
        <v>0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88"/>
      <c r="T15" s="88"/>
      <c r="U15" s="88"/>
      <c r="V15" s="59"/>
    </row>
    <row r="16" spans="1:22" ht="28.5" customHeight="1">
      <c r="A16" s="90" t="s">
        <v>81</v>
      </c>
      <c r="B16" s="91">
        <f>IF($A$5=2,$B$5,IF($A$6=2,$B$6,IF($A$7=2,$B$7,IF($A$8=2,$B$8,""))))</f>
        <v>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88"/>
      <c r="T16" s="88"/>
      <c r="U16" s="88"/>
      <c r="V16" s="59"/>
    </row>
    <row r="17" spans="1:22" ht="28.5" customHeight="1">
      <c r="A17" s="90" t="s">
        <v>82</v>
      </c>
      <c r="B17" s="91">
        <f>IF($A$5=3,$B$5,IF($A$6=3,$B$6,IF($A$7=3,$B$7,IF($A$8=3,$B$8,""))))</f>
        <v>0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88"/>
      <c r="T17" s="88"/>
      <c r="U17" s="88"/>
      <c r="V17" s="59"/>
    </row>
    <row r="18" spans="1:22" ht="28.5" customHeight="1">
      <c r="A18" s="90" t="s">
        <v>83</v>
      </c>
      <c r="B18" s="91">
        <f>IF($A$5=4,$B$5,IF($A$6=4,$B$6,IF($A$7=4,$B$7,IF($A$8=4,$B$8,""))))</f>
        <v>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88"/>
      <c r="T18" s="88"/>
      <c r="U18" s="88"/>
      <c r="V18" s="59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21">
    <mergeCell ref="B1:V1"/>
    <mergeCell ref="A3:U3"/>
    <mergeCell ref="C4:E4"/>
    <mergeCell ref="F4:H4"/>
    <mergeCell ref="I4:K4"/>
    <mergeCell ref="L4:N4"/>
    <mergeCell ref="P4:R4"/>
    <mergeCell ref="S4:U4"/>
    <mergeCell ref="C5:E5"/>
    <mergeCell ref="F6:H6"/>
    <mergeCell ref="I7:K7"/>
    <mergeCell ref="L8:N8"/>
    <mergeCell ref="C9:E9"/>
    <mergeCell ref="F10:H10"/>
    <mergeCell ref="I11:K11"/>
    <mergeCell ref="L12:N12"/>
    <mergeCell ref="B14:R14"/>
    <mergeCell ref="B15:R15"/>
    <mergeCell ref="B16:R16"/>
    <mergeCell ref="B17:R17"/>
    <mergeCell ref="B18:R18"/>
  </mergeCells>
  <printOptions/>
  <pageMargins left="0.6402777777777777" right="0.6097222222222223" top="0.5201388888888889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TURNIERPLAN 8 V1.0</dc:title>
  <dc:subject/>
  <dc:creator>Bernd Hartmann</dc:creator>
  <cp:keywords/>
  <dc:description>Ermöglicht vollständige Turnierkontrolle durch automatische Berechnung der Punkte und Tore, sowie der Spieltermine und -zeiten.</dc:description>
  <cp:lastModifiedBy/>
  <dcterms:created xsi:type="dcterms:W3CDTF">2002-05-14T08:07:29Z</dcterms:created>
  <dcterms:modified xsi:type="dcterms:W3CDTF">2023-03-26T19:01:16Z</dcterms:modified>
  <cp:category/>
  <cp:version/>
  <cp:contentType/>
  <cp:contentStatus/>
  <cp:revision>39</cp:revision>
</cp:coreProperties>
</file>